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showInkAnnotation="0"/>
  <mc:AlternateContent xmlns:mc="http://schemas.openxmlformats.org/markup-compatibility/2006">
    <mc:Choice Requires="x15">
      <x15ac:absPath xmlns:x15ac="http://schemas.microsoft.com/office/spreadsheetml/2010/11/ac" url="/Users/webfromtom/Downloads/"/>
    </mc:Choice>
  </mc:AlternateContent>
  <xr:revisionPtr revIDLastSave="0" documentId="13_ncr:1_{07784317-6A8C-D84B-81C0-D10C0C47A66E}" xr6:coauthVersionLast="47" xr6:coauthVersionMax="47" xr10:uidLastSave="{00000000-0000-0000-0000-000000000000}"/>
  <workbookProtection workbookAlgorithmName="SHA-512" workbookHashValue="esxGjFcXdch2Z7irYepi8zHkpKWTN0Pk6QOjNLl1QETEUeezWlPvQxGSe8MEqVEtYO9NJYAsccTtvOaaeN1m5g==" workbookSaltValue="Fzr3B5teYVBa11MLFLMhLg==" workbookSpinCount="100000" lockStructure="1"/>
  <bookViews>
    <workbookView xWindow="0" yWindow="500" windowWidth="51200" windowHeight="28300" tabRatio="871" xr2:uid="{00000000-000D-0000-FFFF-FFFF00000000}"/>
  </bookViews>
  <sheets>
    <sheet name="Lüftungskonzept" sheetId="22" r:id="rId1"/>
  </sheets>
  <definedNames>
    <definedName name="_xlnm.Print_Area" localSheetId="0">Lüftungskonzept!$B$11:$AC$75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22" l="1"/>
  <c r="BD85" i="22"/>
  <c r="BD90" i="22"/>
  <c r="BR92" i="22"/>
  <c r="BS92" i="22"/>
  <c r="BT92" i="22"/>
  <c r="BU92" i="22"/>
  <c r="BV92" i="22"/>
  <c r="BW92" i="22"/>
  <c r="BX92" i="22"/>
  <c r="BY92" i="22"/>
  <c r="D38" i="22"/>
  <c r="J39" i="22"/>
  <c r="L39" i="22" s="1"/>
  <c r="J40" i="22"/>
  <c r="L40" i="22" s="1"/>
  <c r="FE11" i="22" l="1"/>
  <c r="FE12" i="22"/>
  <c r="FE13" i="22"/>
  <c r="FE14" i="22"/>
  <c r="FE15" i="22"/>
  <c r="FE16" i="22"/>
  <c r="FE17" i="22"/>
  <c r="FE18" i="22"/>
  <c r="FE19" i="22"/>
  <c r="FE20" i="22"/>
  <c r="FE21" i="22"/>
  <c r="FE22" i="22"/>
  <c r="FE23" i="22"/>
  <c r="FE24" i="22"/>
  <c r="FE25" i="22"/>
  <c r="FE26" i="22"/>
  <c r="FE27" i="22"/>
  <c r="FE28" i="22"/>
  <c r="FE29" i="22"/>
  <c r="FE30" i="22"/>
  <c r="FE31" i="22"/>
  <c r="FE32" i="22"/>
  <c r="FE33" i="22"/>
  <c r="FE34" i="22"/>
  <c r="FE35" i="22"/>
  <c r="FE36" i="22"/>
  <c r="FE37" i="22"/>
  <c r="FE38" i="22"/>
  <c r="FE39" i="22"/>
  <c r="FE10" i="22"/>
  <c r="FF11" i="22" l="1"/>
  <c r="FF12" i="22" s="1"/>
  <c r="FF13" i="22" s="1"/>
  <c r="FF14" i="22" s="1"/>
  <c r="FF15" i="22" s="1"/>
  <c r="BR93" i="22"/>
  <c r="BT93" i="22"/>
  <c r="BU93" i="22"/>
  <c r="BV93" i="22"/>
  <c r="BW93" i="22"/>
  <c r="BX93" i="22"/>
  <c r="BY93" i="22"/>
  <c r="BS93" i="22"/>
  <c r="FF16" i="22" l="1"/>
  <c r="FF17" i="22" l="1"/>
  <c r="FF18" i="22" s="1"/>
  <c r="FF19" i="22" l="1"/>
  <c r="FF20" i="22" s="1"/>
  <c r="FF21" i="22" l="1"/>
  <c r="FF22" i="22" l="1"/>
  <c r="FF23" i="22" l="1"/>
  <c r="FF24" i="22" s="1"/>
  <c r="FF25" i="22" s="1"/>
  <c r="FF26" i="22" s="1"/>
  <c r="FF27" i="22" s="1"/>
  <c r="FF28" i="22" s="1"/>
  <c r="FF29" i="22" s="1"/>
  <c r="FF30" i="22" s="1"/>
  <c r="FF31" i="22" s="1"/>
  <c r="FF32" i="22" s="1"/>
  <c r="FF33" i="22" s="1"/>
  <c r="FF34" i="22" s="1"/>
  <c r="FF35" i="22" s="1"/>
  <c r="FF36" i="22" s="1"/>
  <c r="FF37" i="22" s="1"/>
  <c r="FF38" i="22" s="1"/>
  <c r="FF39" i="22" s="1"/>
  <c r="FG10" i="22" l="1"/>
  <c r="FG15" i="22"/>
  <c r="CM45" i="22" l="1"/>
  <c r="CN45" i="22"/>
  <c r="CO45" i="22"/>
  <c r="CM47" i="22"/>
  <c r="CN47" i="22"/>
  <c r="CO47" i="22"/>
  <c r="CM49" i="22"/>
  <c r="CN49" i="22"/>
  <c r="CO49" i="22"/>
  <c r="CM53" i="22"/>
  <c r="CN53" i="22"/>
  <c r="CO53" i="22"/>
  <c r="CM55" i="22"/>
  <c r="CN55" i="22"/>
  <c r="CO55" i="22"/>
  <c r="CM57" i="22"/>
  <c r="CN57" i="22"/>
  <c r="CO57" i="22"/>
  <c r="CM59" i="22"/>
  <c r="CN59" i="22"/>
  <c r="CO59" i="22"/>
  <c r="CM61" i="22"/>
  <c r="CN61" i="22"/>
  <c r="CO61" i="22"/>
  <c r="CM63" i="22"/>
  <c r="CN63" i="22"/>
  <c r="CO63" i="22"/>
  <c r="CM65" i="22"/>
  <c r="CN65" i="22"/>
  <c r="CO65" i="22"/>
  <c r="CM67" i="22"/>
  <c r="CN67" i="22"/>
  <c r="CO67" i="22"/>
  <c r="CM69" i="22"/>
  <c r="CN69" i="22"/>
  <c r="CO69" i="22"/>
  <c r="CM71" i="22"/>
  <c r="CN71" i="22"/>
  <c r="CO71" i="22"/>
  <c r="CM73" i="22"/>
  <c r="CN73" i="22"/>
  <c r="CO73" i="22"/>
  <c r="CO51" i="22"/>
  <c r="CN51" i="22"/>
  <c r="CM51" i="22"/>
  <c r="CL51" i="22"/>
  <c r="CF45" i="22"/>
  <c r="CG45" i="22"/>
  <c r="CH45" i="22"/>
  <c r="CI45" i="22"/>
  <c r="CJ45" i="22"/>
  <c r="CK45" i="22"/>
  <c r="CL45" i="22"/>
  <c r="CF47" i="22"/>
  <c r="CG47" i="22"/>
  <c r="CH47" i="22"/>
  <c r="CI47" i="22"/>
  <c r="CJ47" i="22"/>
  <c r="CK47" i="22"/>
  <c r="CL47" i="22"/>
  <c r="CF49" i="22"/>
  <c r="CG49" i="22"/>
  <c r="CH49" i="22"/>
  <c r="CI49" i="22"/>
  <c r="CJ49" i="22"/>
  <c r="CK49" i="22"/>
  <c r="CL49" i="22"/>
  <c r="CF53" i="22"/>
  <c r="CG53" i="22"/>
  <c r="CH53" i="22"/>
  <c r="CI53" i="22"/>
  <c r="CJ53" i="22"/>
  <c r="CK53" i="22"/>
  <c r="CL53" i="22"/>
  <c r="CF55" i="22"/>
  <c r="CG55" i="22"/>
  <c r="CH55" i="22"/>
  <c r="CI55" i="22"/>
  <c r="CJ55" i="22"/>
  <c r="CK55" i="22"/>
  <c r="CL55" i="22"/>
  <c r="CF57" i="22"/>
  <c r="CG57" i="22"/>
  <c r="CH57" i="22"/>
  <c r="CI57" i="22"/>
  <c r="CJ57" i="22"/>
  <c r="CK57" i="22"/>
  <c r="CL57" i="22"/>
  <c r="CF59" i="22"/>
  <c r="CG59" i="22"/>
  <c r="CH59" i="22"/>
  <c r="CI59" i="22"/>
  <c r="CJ59" i="22"/>
  <c r="CK59" i="22"/>
  <c r="CL59" i="22"/>
  <c r="CF61" i="22"/>
  <c r="CG61" i="22"/>
  <c r="CH61" i="22"/>
  <c r="CI61" i="22"/>
  <c r="CJ61" i="22"/>
  <c r="CK61" i="22"/>
  <c r="CL61" i="22"/>
  <c r="CF63" i="22"/>
  <c r="CG63" i="22"/>
  <c r="CH63" i="22"/>
  <c r="CI63" i="22"/>
  <c r="CJ63" i="22"/>
  <c r="CK63" i="22"/>
  <c r="CL63" i="22"/>
  <c r="CF65" i="22"/>
  <c r="CG65" i="22"/>
  <c r="CH65" i="22"/>
  <c r="CI65" i="22"/>
  <c r="CJ65" i="22"/>
  <c r="CK65" i="22"/>
  <c r="CL65" i="22"/>
  <c r="CF67" i="22"/>
  <c r="CG67" i="22"/>
  <c r="CH67" i="22"/>
  <c r="CI67" i="22"/>
  <c r="CJ67" i="22"/>
  <c r="CK67" i="22"/>
  <c r="CL67" i="22"/>
  <c r="CF69" i="22"/>
  <c r="CG69" i="22"/>
  <c r="CH69" i="22"/>
  <c r="CI69" i="22"/>
  <c r="CJ69" i="22"/>
  <c r="CK69" i="22"/>
  <c r="CL69" i="22"/>
  <c r="CF71" i="22"/>
  <c r="CG71" i="22"/>
  <c r="CH71" i="22"/>
  <c r="CI71" i="22"/>
  <c r="CJ71" i="22"/>
  <c r="CK71" i="22"/>
  <c r="CL71" i="22"/>
  <c r="CF73" i="22"/>
  <c r="CG73" i="22"/>
  <c r="CH73" i="22"/>
  <c r="CI73" i="22"/>
  <c r="CJ73" i="22"/>
  <c r="CK73" i="22"/>
  <c r="CL73" i="22"/>
  <c r="CJ51" i="22"/>
  <c r="CK51" i="22"/>
  <c r="CI51" i="22"/>
  <c r="CH51" i="22"/>
  <c r="CR13" i="22" l="1"/>
  <c r="DC13" i="22" s="1"/>
  <c r="DI13" i="22" s="1"/>
  <c r="CS13" i="22"/>
  <c r="DB13" i="22" s="1"/>
  <c r="CT13" i="22"/>
  <c r="DA13" i="22"/>
  <c r="DD13" i="22"/>
  <c r="DE13" i="22"/>
  <c r="DF13" i="22"/>
  <c r="DG13" i="22"/>
  <c r="CR15" i="22"/>
  <c r="DC15" i="22" s="1"/>
  <c r="DI15" i="22" s="1"/>
  <c r="CS15" i="22"/>
  <c r="DB15" i="22" s="1"/>
  <c r="CT15" i="22"/>
  <c r="DA15" i="22"/>
  <c r="DD15" i="22"/>
  <c r="DE15" i="22"/>
  <c r="DF15" i="22"/>
  <c r="DG15" i="22"/>
  <c r="CR17" i="22"/>
  <c r="DC17" i="22" s="1"/>
  <c r="DI17" i="22" s="1"/>
  <c r="CS17" i="22"/>
  <c r="DB17" i="22" s="1"/>
  <c r="CT17" i="22"/>
  <c r="DA17" i="22"/>
  <c r="DD17" i="22"/>
  <c r="DE17" i="22"/>
  <c r="DF17" i="22"/>
  <c r="DG17" i="22"/>
  <c r="CR19" i="22"/>
  <c r="DC19" i="22" s="1"/>
  <c r="CS19" i="22"/>
  <c r="DB19" i="22" s="1"/>
  <c r="CT19" i="22"/>
  <c r="DA19" i="22"/>
  <c r="DD19" i="22"/>
  <c r="DE19" i="22"/>
  <c r="DF19" i="22"/>
  <c r="DG19" i="22"/>
  <c r="BD20" i="22"/>
  <c r="CR21" i="22"/>
  <c r="DC21" i="22" s="1"/>
  <c r="CS21" i="22"/>
  <c r="DB21" i="22" s="1"/>
  <c r="CT21" i="22"/>
  <c r="DA21" i="22"/>
  <c r="DD21" i="22"/>
  <c r="DE21" i="22"/>
  <c r="DF21" i="22"/>
  <c r="DG21" i="22"/>
  <c r="BV22" i="22"/>
  <c r="BV26" i="22" s="1"/>
  <c r="CR23" i="22"/>
  <c r="CV23" i="22" s="1"/>
  <c r="CS23" i="22"/>
  <c r="DB23" i="22" s="1"/>
  <c r="CT23" i="22"/>
  <c r="DA23" i="22"/>
  <c r="DD23" i="22"/>
  <c r="DE23" i="22"/>
  <c r="DF23" i="22"/>
  <c r="DG23" i="22"/>
  <c r="BD25" i="22"/>
  <c r="CR25" i="22"/>
  <c r="CV25" i="22" s="1"/>
  <c r="CS25" i="22"/>
  <c r="DB25" i="22" s="1"/>
  <c r="CT25" i="22"/>
  <c r="DA25" i="22"/>
  <c r="DD25" i="22"/>
  <c r="DE25" i="22"/>
  <c r="DF25" i="22"/>
  <c r="DG25" i="22"/>
  <c r="CR27" i="22"/>
  <c r="DC27" i="22" s="1"/>
  <c r="DI27" i="22" s="1"/>
  <c r="CS27" i="22"/>
  <c r="DB27" i="22" s="1"/>
  <c r="CT27" i="22"/>
  <c r="DA27" i="22"/>
  <c r="DD27" i="22"/>
  <c r="DE27" i="22"/>
  <c r="DF27" i="22"/>
  <c r="DG27" i="22"/>
  <c r="CR29" i="22"/>
  <c r="CV29" i="22" s="1"/>
  <c r="CS29" i="22"/>
  <c r="DB29" i="22" s="1"/>
  <c r="CT29" i="22"/>
  <c r="DA29" i="22"/>
  <c r="DD29" i="22"/>
  <c r="DE29" i="22"/>
  <c r="DF29" i="22"/>
  <c r="DG29" i="22"/>
  <c r="BD30" i="22"/>
  <c r="BI57" i="22" s="1"/>
  <c r="CR31" i="22"/>
  <c r="DC31" i="22" s="1"/>
  <c r="DI31" i="22" s="1"/>
  <c r="CS31" i="22"/>
  <c r="DB31" i="22" s="1"/>
  <c r="CT31" i="22"/>
  <c r="DA31" i="22"/>
  <c r="DD31" i="22"/>
  <c r="DE31" i="22"/>
  <c r="DF31" i="22"/>
  <c r="DG31" i="22"/>
  <c r="CR33" i="22"/>
  <c r="DC33" i="22" s="1"/>
  <c r="CS33" i="22"/>
  <c r="DB33" i="22" s="1"/>
  <c r="CT33" i="22"/>
  <c r="DA33" i="22"/>
  <c r="DD33" i="22"/>
  <c r="DE33" i="22"/>
  <c r="DF33" i="22"/>
  <c r="DG33" i="22"/>
  <c r="CR35" i="22"/>
  <c r="DC35" i="22" s="1"/>
  <c r="DI35" i="22" s="1"/>
  <c r="CS35" i="22"/>
  <c r="DB35" i="22" s="1"/>
  <c r="CT35" i="22"/>
  <c r="DA35" i="22"/>
  <c r="DD35" i="22"/>
  <c r="DE35" i="22"/>
  <c r="DF35" i="22"/>
  <c r="DG35" i="22"/>
  <c r="CR37" i="22"/>
  <c r="DC37" i="22" s="1"/>
  <c r="DI37" i="22" s="1"/>
  <c r="CS37" i="22"/>
  <c r="DB37" i="22" s="1"/>
  <c r="CT37" i="22"/>
  <c r="DA37" i="22"/>
  <c r="DD37" i="22"/>
  <c r="DE37" i="22"/>
  <c r="DF37" i="22"/>
  <c r="DG37" i="22"/>
  <c r="CR39" i="22"/>
  <c r="DC39" i="22" s="1"/>
  <c r="DI39" i="22" s="1"/>
  <c r="CS39" i="22"/>
  <c r="DB39" i="22" s="1"/>
  <c r="CT39" i="22"/>
  <c r="DA39" i="22"/>
  <c r="DD39" i="22"/>
  <c r="DE39" i="22"/>
  <c r="DF39" i="22"/>
  <c r="DG39" i="22"/>
  <c r="CR41" i="22"/>
  <c r="DC41" i="22" s="1"/>
  <c r="DI41" i="22" s="1"/>
  <c r="CS41" i="22"/>
  <c r="DB41" i="22" s="1"/>
  <c r="CT41" i="22"/>
  <c r="DA41" i="22"/>
  <c r="DD41" i="22"/>
  <c r="DE41" i="22"/>
  <c r="DF41" i="22"/>
  <c r="DG41" i="22"/>
  <c r="DE44" i="22"/>
  <c r="DF45" i="22"/>
  <c r="DF47" i="22"/>
  <c r="CF51" i="22"/>
  <c r="CG51" i="22"/>
  <c r="BD53" i="22"/>
  <c r="BD68" i="22"/>
  <c r="BD75" i="22"/>
  <c r="BD80" i="22"/>
  <c r="BP66" i="22"/>
  <c r="BD94" i="22"/>
  <c r="BD95" i="22"/>
  <c r="BD98" i="22"/>
  <c r="BD99" i="22"/>
  <c r="BD100" i="22"/>
  <c r="AR157" i="22"/>
  <c r="BD14" i="22" s="1"/>
  <c r="E24" i="22" s="1"/>
  <c r="D44" i="22" l="1"/>
  <c r="BR83" i="22"/>
  <c r="BU84" i="22"/>
  <c r="BX85" i="22"/>
  <c r="BT87" i="22"/>
  <c r="BX88" i="22"/>
  <c r="BS90" i="22"/>
  <c r="BW91" i="22"/>
  <c r="BS87" i="22"/>
  <c r="BS83" i="22"/>
  <c r="BV84" i="22"/>
  <c r="BY85" i="22"/>
  <c r="BU87" i="22"/>
  <c r="BY88" i="22"/>
  <c r="BT90" i="22"/>
  <c r="BX91" i="22"/>
  <c r="BT84" i="22"/>
  <c r="BT83" i="22"/>
  <c r="BW84" i="22"/>
  <c r="BR86" i="22"/>
  <c r="BV87" i="22"/>
  <c r="BR89" i="22"/>
  <c r="BU90" i="22"/>
  <c r="BY91" i="22"/>
  <c r="BU83" i="22"/>
  <c r="BX84" i="22"/>
  <c r="BS86" i="22"/>
  <c r="BW87" i="22"/>
  <c r="BS89" i="22"/>
  <c r="BV90" i="22"/>
  <c r="BU86" i="22"/>
  <c r="BY87" i="22"/>
  <c r="BU89" i="22"/>
  <c r="BT85" i="22"/>
  <c r="BT88" i="22"/>
  <c r="BU85" i="22"/>
  <c r="BY89" i="22"/>
  <c r="BV85" i="22"/>
  <c r="BV83" i="22"/>
  <c r="BY84" i="22"/>
  <c r="BT86" i="22"/>
  <c r="BX87" i="22"/>
  <c r="BT89" i="22"/>
  <c r="BW90" i="22"/>
  <c r="BX90" i="22"/>
  <c r="BS91" i="22"/>
  <c r="BU88" i="22"/>
  <c r="BR87" i="22"/>
  <c r="BW88" i="22"/>
  <c r="BW83" i="22"/>
  <c r="BX83" i="22"/>
  <c r="BR85" i="22"/>
  <c r="BV86" i="22"/>
  <c r="BR88" i="22"/>
  <c r="BV89" i="22"/>
  <c r="BY90" i="22"/>
  <c r="BY83" i="22"/>
  <c r="BS85" i="22"/>
  <c r="BW86" i="22"/>
  <c r="BS88" i="22"/>
  <c r="BW89" i="22"/>
  <c r="BR91" i="22"/>
  <c r="BX86" i="22"/>
  <c r="BX89" i="22"/>
  <c r="BR84" i="22"/>
  <c r="BY86" i="22"/>
  <c r="BT91" i="22"/>
  <c r="BS84" i="22"/>
  <c r="BV88" i="22"/>
  <c r="BW85" i="22"/>
  <c r="BR90" i="22"/>
  <c r="BV91" i="22"/>
  <c r="BU91" i="22"/>
  <c r="B35" i="22"/>
  <c r="S36" i="22"/>
  <c r="DI33" i="22"/>
  <c r="BR72" i="22"/>
  <c r="BR73" i="22"/>
  <c r="BR74" i="22"/>
  <c r="BR75" i="22"/>
  <c r="BR76" i="22"/>
  <c r="BR77" i="22"/>
  <c r="BR78" i="22"/>
  <c r="BR79" i="22"/>
  <c r="BR80" i="22"/>
  <c r="BR81" i="22"/>
  <c r="BR82" i="22"/>
  <c r="BU75" i="22"/>
  <c r="BU77" i="22"/>
  <c r="BU79" i="22"/>
  <c r="BV75" i="22"/>
  <c r="BV77" i="22"/>
  <c r="BV79" i="22"/>
  <c r="BW75" i="22"/>
  <c r="BW77" i="22"/>
  <c r="BW79" i="22"/>
  <c r="BX75" i="22"/>
  <c r="BX77" i="22"/>
  <c r="BX79" i="22"/>
  <c r="BY75" i="22"/>
  <c r="BY77" i="22"/>
  <c r="BY79" i="22"/>
  <c r="BS76" i="22"/>
  <c r="BS78" i="22"/>
  <c r="BT76" i="22"/>
  <c r="BT78" i="22"/>
  <c r="BU76" i="22"/>
  <c r="BU78" i="22"/>
  <c r="BV76" i="22"/>
  <c r="BV78" i="22"/>
  <c r="BW76" i="22"/>
  <c r="BW78" i="22"/>
  <c r="BX76" i="22"/>
  <c r="BX78" i="22"/>
  <c r="BY76" i="22"/>
  <c r="BY78" i="22"/>
  <c r="BS75" i="22"/>
  <c r="BS77" i="22"/>
  <c r="BS79" i="22"/>
  <c r="BT75" i="22"/>
  <c r="BT77" i="22"/>
  <c r="BT79" i="22"/>
  <c r="DC29" i="22"/>
  <c r="DI29" i="22" s="1"/>
  <c r="CV13" i="22"/>
  <c r="DC25" i="22"/>
  <c r="DI25" i="22" s="1"/>
  <c r="BX81" i="22"/>
  <c r="BT73" i="22"/>
  <c r="BV74" i="22"/>
  <c r="DF48" i="22"/>
  <c r="BX82" i="22"/>
  <c r="BY73" i="22"/>
  <c r="BU81" i="22"/>
  <c r="BT72" i="22"/>
  <c r="BU82" i="22"/>
  <c r="BU80" i="22"/>
  <c r="BS74" i="22"/>
  <c r="BW73" i="22"/>
  <c r="CV27" i="22"/>
  <c r="BW72" i="22"/>
  <c r="CV31" i="22"/>
  <c r="CV21" i="22"/>
  <c r="BP14" i="22"/>
  <c r="BX80" i="22"/>
  <c r="BY74" i="22"/>
  <c r="BY72" i="22"/>
  <c r="BY53" i="22"/>
  <c r="BV82" i="22"/>
  <c r="BY81" i="22"/>
  <c r="BT81" i="22"/>
  <c r="BV80" i="22"/>
  <c r="BU74" i="22"/>
  <c r="BU73" i="22"/>
  <c r="BX72" i="22"/>
  <c r="BS72" i="22"/>
  <c r="CV39" i="22"/>
  <c r="DC23" i="22"/>
  <c r="DI23" i="22" s="1"/>
  <c r="CV17" i="22"/>
  <c r="DI19" i="22"/>
  <c r="BY82" i="22"/>
  <c r="BT82" i="22"/>
  <c r="BV81" i="22"/>
  <c r="BY80" i="22"/>
  <c r="BT80" i="22"/>
  <c r="BW74" i="22"/>
  <c r="BX73" i="22"/>
  <c r="BS73" i="22"/>
  <c r="BU72" i="22"/>
  <c r="BD58" i="22"/>
  <c r="J38" i="22" s="1"/>
  <c r="CV35" i="22"/>
  <c r="BW82" i="22"/>
  <c r="BS82" i="22"/>
  <c r="BW81" i="22"/>
  <c r="BS81" i="22"/>
  <c r="BW80" i="22"/>
  <c r="BS80" i="22"/>
  <c r="BX74" i="22"/>
  <c r="BT74" i="22"/>
  <c r="BV73" i="22"/>
  <c r="BV72" i="22"/>
  <c r="DI21" i="22"/>
  <c r="CV19" i="22"/>
  <c r="CV15" i="22"/>
  <c r="CV41" i="22"/>
  <c r="DF46" i="22"/>
  <c r="CG82" i="22"/>
  <c r="BV23" i="22"/>
  <c r="BV25" i="22" s="1"/>
  <c r="BV27" i="22" s="1"/>
  <c r="BX33" i="22" s="1"/>
  <c r="CG77" i="22"/>
  <c r="CU15" i="22"/>
  <c r="DH15" i="22" s="1"/>
  <c r="BP17" i="22"/>
  <c r="BP19" i="22" s="1"/>
  <c r="CU17" i="22"/>
  <c r="DH17" i="22" s="1"/>
  <c r="CU19" i="22"/>
  <c r="DH19" i="22" s="1"/>
  <c r="CU21" i="22"/>
  <c r="DH21" i="22" s="1"/>
  <c r="CU27" i="22"/>
  <c r="DH27" i="22" s="1"/>
  <c r="CU34" i="22"/>
  <c r="CU36" i="22"/>
  <c r="CU38" i="22"/>
  <c r="CU40" i="22"/>
  <c r="CU16" i="22"/>
  <c r="CU18" i="22"/>
  <c r="CU23" i="22"/>
  <c r="CU26" i="22"/>
  <c r="CU28" i="22"/>
  <c r="CU31" i="22"/>
  <c r="DH31" i="22" s="1"/>
  <c r="BP50" i="22"/>
  <c r="BY54" i="22" s="1"/>
  <c r="CU14" i="22"/>
  <c r="CU20" i="22"/>
  <c r="CU22" i="22"/>
  <c r="CU30" i="22"/>
  <c r="CU33" i="22"/>
  <c r="DH33" i="22" s="1"/>
  <c r="CU37" i="22"/>
  <c r="DH37" i="22" s="1"/>
  <c r="CU25" i="22"/>
  <c r="CU13" i="22"/>
  <c r="BP63" i="22"/>
  <c r="CU39" i="22"/>
  <c r="DH39" i="22" s="1"/>
  <c r="CV33" i="22"/>
  <c r="CU32" i="22"/>
  <c r="CU29" i="22"/>
  <c r="DF49" i="22"/>
  <c r="DF50" i="22"/>
  <c r="CB83" i="22" s="1"/>
  <c r="CU24" i="22"/>
  <c r="BP44" i="22"/>
  <c r="CU41" i="22"/>
  <c r="DH41" i="22" s="1"/>
  <c r="CV37" i="22"/>
  <c r="CU35" i="22"/>
  <c r="DH35" i="22" s="1"/>
  <c r="BV24" i="22"/>
  <c r="CG92" i="22" l="1"/>
  <c r="Z32" i="22"/>
  <c r="M38" i="22"/>
  <c r="DH25" i="22"/>
  <c r="DH29" i="22"/>
  <c r="BP55" i="22"/>
  <c r="CG98" i="22" s="1"/>
  <c r="DF52" i="22"/>
  <c r="BX32" i="22"/>
  <c r="DH23" i="22"/>
  <c r="BX30" i="22"/>
  <c r="Z31" i="22" s="1"/>
  <c r="BX31" i="22"/>
  <c r="DE43" i="22"/>
  <c r="DH13" i="22"/>
  <c r="CC45" i="22"/>
  <c r="CX45" i="22" s="1"/>
  <c r="CC49" i="22"/>
  <c r="CX49" i="22" s="1"/>
  <c r="CC53" i="22"/>
  <c r="CC55" i="22"/>
  <c r="CC47" i="22"/>
  <c r="CX47" i="22" s="1"/>
  <c r="CC59" i="22"/>
  <c r="CC63" i="22"/>
  <c r="CC61" i="22"/>
  <c r="CC71" i="22"/>
  <c r="CC73" i="22"/>
  <c r="CC51" i="22"/>
  <c r="CC65" i="22"/>
  <c r="CC67" i="22"/>
  <c r="CC57" i="22"/>
  <c r="CC69" i="22"/>
  <c r="DF53" i="22" l="1"/>
  <c r="CQ55" i="22"/>
  <c r="CX55" i="22"/>
  <c r="CY55" i="22"/>
  <c r="CR55" i="22"/>
  <c r="CS55" i="22"/>
  <c r="CT55" i="22"/>
  <c r="CU55" i="22"/>
  <c r="CV55" i="22"/>
  <c r="CW55" i="22"/>
  <c r="CP55" i="22"/>
  <c r="CY49" i="22"/>
  <c r="CP49" i="22"/>
  <c r="CQ49" i="22"/>
  <c r="CR49" i="22"/>
  <c r="CS49" i="22"/>
  <c r="CT49" i="22"/>
  <c r="CU49" i="22"/>
  <c r="CV49" i="22"/>
  <c r="CW49" i="22"/>
  <c r="CR57" i="22"/>
  <c r="CS57" i="22"/>
  <c r="CX57" i="22"/>
  <c r="CY57" i="22"/>
  <c r="CT57" i="22"/>
  <c r="CU57" i="22"/>
  <c r="CV57" i="22"/>
  <c r="CW57" i="22"/>
  <c r="CP57" i="22"/>
  <c r="CQ57" i="22"/>
  <c r="CP69" i="22"/>
  <c r="CX69" i="22"/>
  <c r="CY69" i="22"/>
  <c r="CS69" i="22"/>
  <c r="CQ69" i="22"/>
  <c r="CR69" i="22"/>
  <c r="CT69" i="22"/>
  <c r="CU69" i="22"/>
  <c r="CV69" i="22"/>
  <c r="CW69" i="22"/>
  <c r="CW67" i="22"/>
  <c r="CX67" i="22"/>
  <c r="CY67" i="22"/>
  <c r="CQ67" i="22"/>
  <c r="CR67" i="22"/>
  <c r="CP67" i="22"/>
  <c r="CS67" i="22"/>
  <c r="CU67" i="22"/>
  <c r="CV67" i="22"/>
  <c r="CT67" i="22"/>
  <c r="CX53" i="22"/>
  <c r="CY53" i="22"/>
  <c r="CP53" i="22"/>
  <c r="CQ53" i="22"/>
  <c r="CR53" i="22"/>
  <c r="CS53" i="22"/>
  <c r="CT53" i="22"/>
  <c r="CU53" i="22"/>
  <c r="CV53" i="22"/>
  <c r="CW53" i="22"/>
  <c r="CP45" i="22"/>
  <c r="CQ45" i="22"/>
  <c r="CR45" i="22"/>
  <c r="CS45" i="22"/>
  <c r="CT45" i="22"/>
  <c r="CU45" i="22"/>
  <c r="CV45" i="22"/>
  <c r="CW45" i="22"/>
  <c r="CY45" i="22"/>
  <c r="CV65" i="22"/>
  <c r="CW65" i="22"/>
  <c r="CX65" i="22"/>
  <c r="CY65" i="22"/>
  <c r="CP65" i="22"/>
  <c r="CQ65" i="22"/>
  <c r="CR65" i="22"/>
  <c r="CS65" i="22"/>
  <c r="CT65" i="22"/>
  <c r="CU65" i="22"/>
  <c r="CU51" i="22"/>
  <c r="CP51" i="22"/>
  <c r="CR51" i="22"/>
  <c r="CS51" i="22"/>
  <c r="CT51" i="22"/>
  <c r="CV51" i="22"/>
  <c r="CX51" i="22"/>
  <c r="CY51" i="22"/>
  <c r="CW51" i="22"/>
  <c r="CQ51" i="22"/>
  <c r="CP73" i="22"/>
  <c r="CR73" i="22"/>
  <c r="CX73" i="22"/>
  <c r="CQ73" i="22"/>
  <c r="CT73" i="22"/>
  <c r="CU73" i="22"/>
  <c r="CY73" i="22"/>
  <c r="CS73" i="22"/>
  <c r="CV73" i="22"/>
  <c r="CW73" i="22"/>
  <c r="CP71" i="22"/>
  <c r="CQ71" i="22"/>
  <c r="CS71" i="22"/>
  <c r="CX71" i="22"/>
  <c r="CY71" i="22"/>
  <c r="CR71" i="22"/>
  <c r="CT71" i="22"/>
  <c r="CU71" i="22"/>
  <c r="CW71" i="22"/>
  <c r="CV71" i="22"/>
  <c r="CT61" i="22"/>
  <c r="CU61" i="22"/>
  <c r="CV61" i="22"/>
  <c r="CW61" i="22"/>
  <c r="CX61" i="22"/>
  <c r="CY61" i="22"/>
  <c r="CP61" i="22"/>
  <c r="CS61" i="22"/>
  <c r="CQ61" i="22"/>
  <c r="CR61" i="22"/>
  <c r="CU63" i="22"/>
  <c r="CV63" i="22"/>
  <c r="CW63" i="22"/>
  <c r="CX63" i="22"/>
  <c r="CY63" i="22"/>
  <c r="CP63" i="22"/>
  <c r="CQ63" i="22"/>
  <c r="CS63" i="22"/>
  <c r="CR63" i="22"/>
  <c r="CT63" i="22"/>
  <c r="CS59" i="22"/>
  <c r="CT59" i="22"/>
  <c r="CU59" i="22"/>
  <c r="CX59" i="22"/>
  <c r="CY59" i="22"/>
  <c r="CV59" i="22"/>
  <c r="CW59" i="22"/>
  <c r="CQ59" i="22"/>
  <c r="CP59" i="22"/>
  <c r="CR59" i="22"/>
  <c r="CP47" i="22"/>
  <c r="CQ47" i="22"/>
  <c r="CR47" i="22"/>
  <c r="CS47" i="22"/>
  <c r="CT47" i="22"/>
  <c r="CU47" i="22"/>
  <c r="CV47" i="22"/>
  <c r="CW47" i="22"/>
  <c r="CY47" i="22"/>
  <c r="BP58" i="22"/>
  <c r="BY68" i="22" s="1"/>
  <c r="CD57" i="22"/>
  <c r="CE57" i="22"/>
  <c r="CD49" i="22"/>
  <c r="CE49" i="22"/>
  <c r="CD67" i="22"/>
  <c r="CE67" i="22"/>
  <c r="CD71" i="22"/>
  <c r="CE71" i="22"/>
  <c r="CE47" i="22"/>
  <c r="CD47" i="22"/>
  <c r="CD45" i="22"/>
  <c r="CE45" i="22"/>
  <c r="CE59" i="22"/>
  <c r="CD59" i="22"/>
  <c r="CG93" i="22"/>
  <c r="CE65" i="22"/>
  <c r="CD65" i="22"/>
  <c r="CD61" i="22"/>
  <c r="CE61" i="22"/>
  <c r="CE55" i="22"/>
  <c r="CD55" i="22"/>
  <c r="DF51" i="22"/>
  <c r="CD73" i="22"/>
  <c r="CE73" i="22"/>
  <c r="CD69" i="22"/>
  <c r="CE69" i="22"/>
  <c r="CD51" i="22"/>
  <c r="CE51" i="22"/>
  <c r="CE63" i="22"/>
  <c r="CD63" i="22"/>
  <c r="CE53" i="22"/>
  <c r="CD53" i="22"/>
  <c r="CO99" i="22" l="1"/>
  <c r="BX36" i="22"/>
  <c r="BX38" i="22" s="1"/>
  <c r="DF54" i="22"/>
  <c r="AA37" i="22" s="1"/>
  <c r="DF61" i="22" l="1"/>
  <c r="CG100" i="22"/>
  <c r="CG76" i="22"/>
  <c r="DF67" i="22"/>
  <c r="DF66" i="22"/>
  <c r="CQ99" i="22"/>
  <c r="CG94" i="22"/>
  <c r="DF55" i="22"/>
  <c r="AA39" i="22" s="1"/>
  <c r="CG99" i="22"/>
  <c r="BX37" i="22"/>
  <c r="BX39" i="22"/>
  <c r="CB78" i="22" l="1"/>
  <c r="DF56" i="22"/>
  <c r="AA38" i="22" s="1"/>
  <c r="DF57" i="22"/>
  <c r="DK23" i="22"/>
  <c r="DK31" i="22"/>
  <c r="DK33" i="22"/>
  <c r="DK15" i="22"/>
  <c r="DL15" i="22" s="1"/>
  <c r="DK39" i="22"/>
  <c r="DL39" i="22" s="1"/>
  <c r="DK19" i="22"/>
  <c r="DL19" i="22" s="1"/>
  <c r="DK35" i="22"/>
  <c r="DK41" i="22"/>
  <c r="DK29" i="22"/>
  <c r="DK25" i="22"/>
  <c r="DK21" i="22"/>
  <c r="DK27" i="22"/>
  <c r="DK17" i="22"/>
  <c r="DL17" i="22" s="1"/>
  <c r="DK37" i="22"/>
  <c r="DK13" i="22"/>
  <c r="D40" i="22" l="1"/>
  <c r="D39" i="22"/>
  <c r="DL20" i="22"/>
  <c r="M40" i="22"/>
  <c r="X40" i="22"/>
  <c r="Z40" i="22" s="1"/>
  <c r="AA40" i="22"/>
  <c r="DL18" i="22"/>
  <c r="DL28" i="22"/>
  <c r="DL31" i="22"/>
  <c r="DL27" i="22"/>
  <c r="DL36" i="22"/>
  <c r="DL26" i="22"/>
  <c r="DL33" i="22"/>
  <c r="DL40" i="22"/>
  <c r="DL23" i="22"/>
  <c r="DL21" i="22"/>
  <c r="DL32" i="22"/>
  <c r="DL38" i="22"/>
  <c r="DL22" i="22"/>
  <c r="DL30" i="22"/>
  <c r="DL37" i="22"/>
  <c r="DL24" i="22"/>
  <c r="DL25" i="22"/>
  <c r="DL14" i="22"/>
  <c r="DF60" i="22"/>
  <c r="DJ29" i="22" s="1"/>
  <c r="DL13" i="22"/>
  <c r="DL29" i="22"/>
  <c r="DL16" i="22"/>
  <c r="DL41" i="22"/>
  <c r="DL34" i="22"/>
  <c r="DL35" i="22"/>
  <c r="DF63" i="22"/>
  <c r="CG81" i="22"/>
  <c r="DF69" i="22"/>
  <c r="DF68" i="22"/>
  <c r="DJ17" i="22" l="1"/>
  <c r="DJ27" i="22"/>
  <c r="DJ25" i="22"/>
  <c r="DJ13" i="22"/>
  <c r="DJ19" i="22"/>
  <c r="DJ31" i="22"/>
  <c r="DJ33" i="22"/>
  <c r="DJ37" i="22"/>
  <c r="DJ23" i="22"/>
  <c r="DJ21" i="22"/>
  <c r="DJ15" i="22"/>
  <c r="DJ41" i="22"/>
  <c r="DJ39" i="22"/>
  <c r="DJ35" i="22"/>
  <c r="DN15" i="22"/>
  <c r="DO15" i="22" s="1"/>
  <c r="DN39" i="22"/>
  <c r="DO39" i="22" s="1"/>
  <c r="DN41" i="22"/>
  <c r="DO41" i="22" s="1"/>
  <c r="DN23" i="22"/>
  <c r="DO23" i="22" s="1"/>
  <c r="DN31" i="22"/>
  <c r="DO31" i="22" s="1"/>
  <c r="DN19" i="22"/>
  <c r="DO19" i="22" s="1"/>
  <c r="DN33" i="22"/>
  <c r="DO33" i="22" s="1"/>
  <c r="DN13" i="22"/>
  <c r="DO13" i="22" s="1"/>
  <c r="DN27" i="22"/>
  <c r="DO27" i="22" s="1"/>
  <c r="DN25" i="22"/>
  <c r="DO25" i="22" s="1"/>
  <c r="DN37" i="22"/>
  <c r="DO37" i="22" s="1"/>
  <c r="DN17" i="22"/>
  <c r="DO17" i="22" s="1"/>
  <c r="DN29" i="22"/>
  <c r="DO29" i="22" s="1"/>
  <c r="DN21" i="22"/>
  <c r="DO21" i="22" s="1"/>
  <c r="DN35" i="22"/>
  <c r="DO35" i="22" s="1"/>
  <c r="DO22" i="22"/>
  <c r="DO38" i="22"/>
  <c r="DO28" i="22"/>
  <c r="DO20" i="22"/>
  <c r="DO16" i="22"/>
  <c r="DF62" i="22"/>
  <c r="DO24" i="22"/>
  <c r="DO26" i="22"/>
  <c r="DO40" i="22"/>
  <c r="DO18" i="22"/>
  <c r="DO32" i="22"/>
  <c r="DO14" i="22"/>
  <c r="DO34" i="22"/>
  <c r="DO30" i="22"/>
  <c r="DO36" i="22"/>
  <c r="DM33" i="22" l="1"/>
  <c r="DM37" i="22"/>
  <c r="DM13" i="22"/>
  <c r="DM25" i="22"/>
  <c r="DM29" i="22"/>
  <c r="DM35" i="22"/>
  <c r="DM39" i="22"/>
  <c r="DM41" i="22"/>
  <c r="DM15" i="22"/>
  <c r="DM17" i="22"/>
  <c r="DM19" i="22"/>
  <c r="DM21" i="22"/>
  <c r="DM27" i="22"/>
  <c r="DM23" i="22"/>
  <c r="DM31" i="22"/>
  <c r="FG24" i="22" l="1"/>
  <c r="FG28" i="22"/>
  <c r="FG39" i="22"/>
  <c r="FG12" i="22"/>
  <c r="FG34" i="22"/>
  <c r="FG25" i="22"/>
  <c r="FG21" i="22"/>
  <c r="FG38" i="22"/>
  <c r="FG30" i="22"/>
  <c r="FG33" i="22"/>
  <c r="FG18" i="22"/>
  <c r="FG19" i="22"/>
  <c r="FG20" i="22"/>
  <c r="FG36" i="22"/>
  <c r="FG26" i="22"/>
  <c r="FG27" i="22"/>
  <c r="FG35" i="22"/>
  <c r="FG32" i="22"/>
  <c r="FG11" i="22"/>
  <c r="FG31" i="22"/>
  <c r="FG14" i="22"/>
  <c r="FG22" i="22"/>
  <c r="FG37" i="22"/>
  <c r="FG29" i="22"/>
  <c r="FG23" i="22"/>
  <c r="FG13" i="22"/>
  <c r="FG17" i="22"/>
  <c r="FG16" i="22"/>
</calcChain>
</file>

<file path=xl/sharedStrings.xml><?xml version="1.0" encoding="utf-8"?>
<sst xmlns="http://schemas.openxmlformats.org/spreadsheetml/2006/main" count="1222" uniqueCount="696">
  <si>
    <t>Randbedingungen</t>
  </si>
  <si>
    <t>Gebäudetyp:</t>
  </si>
  <si>
    <t>Gebäudelage</t>
  </si>
  <si>
    <t>windschwach</t>
  </si>
  <si>
    <t>windstark</t>
  </si>
  <si>
    <t>Wärmeschutz</t>
  </si>
  <si>
    <t>Strasse / Nr.</t>
  </si>
  <si>
    <t>PLZ / Ort</t>
  </si>
  <si>
    <t>Kreise</t>
  </si>
  <si>
    <t>Aachen</t>
  </si>
  <si>
    <t>Aachen, Stadt</t>
  </si>
  <si>
    <t>Ahrweiler</t>
  </si>
  <si>
    <t>Aichach-Friedberg</t>
  </si>
  <si>
    <t>Alb-Donau-Kreis</t>
  </si>
  <si>
    <t>m²</t>
  </si>
  <si>
    <t>Altenburger Land</t>
  </si>
  <si>
    <t>Altenkirchen (Westerwald)</t>
  </si>
  <si>
    <t>Altmarkkreis Salzwedel</t>
  </si>
  <si>
    <t>Altötting</t>
  </si>
  <si>
    <t>Baumaßnahme</t>
  </si>
  <si>
    <t>Alzey-Worms</t>
  </si>
  <si>
    <t>Amberg-Sulzbach</t>
  </si>
  <si>
    <t>Ammerland</t>
  </si>
  <si>
    <t>m³/h</t>
  </si>
  <si>
    <t>Anhalt-Bitterfeld</t>
  </si>
  <si>
    <t>Annaberg</t>
  </si>
  <si>
    <t>Ansbach</t>
  </si>
  <si>
    <t>Aschaffenburg</t>
  </si>
  <si>
    <t>Aue-Schwarzenberg</t>
  </si>
  <si>
    <t>Augsburg</t>
  </si>
  <si>
    <t>Aurich</t>
  </si>
  <si>
    <t>Bad Doberan</t>
  </si>
  <si>
    <t>Bad Dürkheim</t>
  </si>
  <si>
    <t>Bad Kissingen</t>
  </si>
  <si>
    <t>Neubau + Vollmodernisierung</t>
  </si>
  <si>
    <t>Teilsanierung</t>
  </si>
  <si>
    <t>Bad Kreuznach</t>
  </si>
  <si>
    <t>Bad Tölz-Wolfratshausen</t>
  </si>
  <si>
    <t>Bamberg</t>
  </si>
  <si>
    <t>Barnim</t>
  </si>
  <si>
    <t>Bautzen</t>
  </si>
  <si>
    <t>Bayreuth</t>
  </si>
  <si>
    <t>Berchtesgadener Land</t>
  </si>
  <si>
    <t>Bergstraße</t>
  </si>
  <si>
    <t>Bernkastel-Wittlich</t>
  </si>
  <si>
    <t>Biberach</t>
  </si>
  <si>
    <t>Bielefeld, Stadt</t>
  </si>
  <si>
    <t>Birkenfeld</t>
  </si>
  <si>
    <t>Böblingen</t>
  </si>
  <si>
    <t>Bodenseekreis</t>
  </si>
  <si>
    <t>Börde</t>
  </si>
  <si>
    <t>Borken</t>
  </si>
  <si>
    <t>Bottrop, Stadt</t>
  </si>
  <si>
    <t>Breisgau-Hochschwarzwald</t>
  </si>
  <si>
    <t>Bremen, Stadt</t>
  </si>
  <si>
    <t>Bremerhaven, Stadt</t>
  </si>
  <si>
    <t>Burgenlandkreis</t>
  </si>
  <si>
    <t>Calw</t>
  </si>
  <si>
    <t>Celle</t>
  </si>
  <si>
    <t>Cham</t>
  </si>
  <si>
    <t>Cloppenburg</t>
  </si>
  <si>
    <t>Windstarke Kreise</t>
  </si>
  <si>
    <t>Coburg</t>
  </si>
  <si>
    <t>Cochem-Zell</t>
  </si>
  <si>
    <t>Coesfeld</t>
  </si>
  <si>
    <t>Cuxhaven</t>
  </si>
  <si>
    <t>Dachau</t>
  </si>
  <si>
    <t>Dahme-Spreewald</t>
  </si>
  <si>
    <t>Darmstadt-Dieburg</t>
  </si>
  <si>
    <t>Deggendorf</t>
  </si>
  <si>
    <t>Delitzsch</t>
  </si>
  <si>
    <t>Delmenhorst, Stadt</t>
  </si>
  <si>
    <t>Demmin</t>
  </si>
  <si>
    <t>Diepholz</t>
  </si>
  <si>
    <t>Dillingen an der Donau</t>
  </si>
  <si>
    <t>Dingolfing-Landau</t>
  </si>
  <si>
    <t>Dithmarschen</t>
  </si>
  <si>
    <t>Döbeln</t>
  </si>
  <si>
    <t>Donau-Ries</t>
  </si>
  <si>
    <t>Donnersbergkreis</t>
  </si>
  <si>
    <t>Düren</t>
  </si>
  <si>
    <t>Ebersberg</t>
  </si>
  <si>
    <t>Eichsfeld</t>
  </si>
  <si>
    <t>Eichstätt</t>
  </si>
  <si>
    <t>Eifelkreis Bitburg-Prüm</t>
  </si>
  <si>
    <t>Elbe-Elster</t>
  </si>
  <si>
    <t>Emden, Stadt</t>
  </si>
  <si>
    <t>Emmendingen</t>
  </si>
  <si>
    <t>Emsland</t>
  </si>
  <si>
    <t>Ennepe-Ruhr-Kreis</t>
  </si>
  <si>
    <t xml:space="preserve">Erzgebirgskreis, mittlerer </t>
  </si>
  <si>
    <t>Euskirchen</t>
  </si>
  <si>
    <t>Flensburg, Stadt</t>
  </si>
  <si>
    <t>Freiberg</t>
  </si>
  <si>
    <t>Freyung-Grafenau</t>
  </si>
  <si>
    <t>Friesland</t>
  </si>
  <si>
    <t>Fulda</t>
  </si>
  <si>
    <t>Garmisch-Partenkirchen</t>
  </si>
  <si>
    <t>Gifhorn</t>
  </si>
  <si>
    <t>Görlitz, Stadt</t>
  </si>
  <si>
    <t>Goslar</t>
  </si>
  <si>
    <t>Gotha</t>
  </si>
  <si>
    <t>Grafschaft Bentheim</t>
  </si>
  <si>
    <t>Greifswald</t>
  </si>
  <si>
    <t>Güstrow</t>
  </si>
  <si>
    <t>Gütersloh</t>
  </si>
  <si>
    <t>Hamburg, Freie und Hansestadt</t>
  </si>
  <si>
    <t>Hameln-Pyrmont</t>
  </si>
  <si>
    <t>Hamm, Stadt</t>
  </si>
  <si>
    <t>Hannover, Region</t>
  </si>
  <si>
    <t>Harburg</t>
  </si>
  <si>
    <t>Harz</t>
  </si>
  <si>
    <t>Havelland</t>
  </si>
  <si>
    <t>Heinsberg</t>
  </si>
  <si>
    <t>Helmstedt</t>
  </si>
  <si>
    <t>Herford</t>
  </si>
  <si>
    <t>Haßberge</t>
  </si>
  <si>
    <t>Herzogtum Lauenburg</t>
  </si>
  <si>
    <t>Hildesheim</t>
  </si>
  <si>
    <t>Heidekreis</t>
  </si>
  <si>
    <t>Hochsauerlandkreis</t>
  </si>
  <si>
    <t>Heidenheim</t>
  </si>
  <si>
    <t>Hof</t>
  </si>
  <si>
    <t>Heilbronn</t>
  </si>
  <si>
    <t>Hof, Stadt</t>
  </si>
  <si>
    <t>Höxter</t>
  </si>
  <si>
    <t>Ilm-Kreis</t>
  </si>
  <si>
    <t xml:space="preserve">Kempten (Allgäu), Stadt </t>
  </si>
  <si>
    <t>Hersfeld-Rotenburg</t>
  </si>
  <si>
    <t>Kiel, Landeshauptstadt</t>
  </si>
  <si>
    <t>Kleve</t>
  </si>
  <si>
    <t>Hildburghausen</t>
  </si>
  <si>
    <t>Kusel</t>
  </si>
  <si>
    <t>Leer</t>
  </si>
  <si>
    <t>Lippe</t>
  </si>
  <si>
    <t>Hochtaunuskreis</t>
  </si>
  <si>
    <t>Löbau-Zittau</t>
  </si>
  <si>
    <t>Lörrach</t>
  </si>
  <si>
    <t>Lübeck, Hansestadt</t>
  </si>
  <si>
    <t>Hohenlohekreis</t>
  </si>
  <si>
    <t>Lüchow-Dannenberg</t>
  </si>
  <si>
    <t>Holzminden</t>
  </si>
  <si>
    <t>Ludwigslust-Parchim</t>
  </si>
  <si>
    <t>Lüneburg</t>
  </si>
  <si>
    <t>Mainz-Bingen</t>
  </si>
  <si>
    <t>Jerichower Land</t>
  </si>
  <si>
    <t>Märkischer Kreis</t>
  </si>
  <si>
    <t>Kaiserslautern</t>
  </si>
  <si>
    <t>Märkisch-Oderland</t>
  </si>
  <si>
    <t>Karlsruhe</t>
  </si>
  <si>
    <t>Mayen-Koblenz</t>
  </si>
  <si>
    <t>Kassel</t>
  </si>
  <si>
    <t>Mecklenburg-Strelitz</t>
  </si>
  <si>
    <t>Kelheim</t>
  </si>
  <si>
    <t>Meißen</t>
  </si>
  <si>
    <t>Mettmann</t>
  </si>
  <si>
    <t>Kitzingen</t>
  </si>
  <si>
    <t>Miesbach</t>
  </si>
  <si>
    <t>Minden-Lübbecke</t>
  </si>
  <si>
    <t>Mittweida</t>
  </si>
  <si>
    <t>Konstanz</t>
  </si>
  <si>
    <t>Mönchengladbach, Stadt</t>
  </si>
  <si>
    <t>Kronach</t>
  </si>
  <si>
    <t>Münster, Stadt</t>
  </si>
  <si>
    <t>Kulmbach</t>
  </si>
  <si>
    <t>Müritz</t>
  </si>
  <si>
    <t>Neubrandenburg</t>
  </si>
  <si>
    <t>Kyffhäuserkreis</t>
  </si>
  <si>
    <t>Neumünster, Stadt</t>
  </si>
  <si>
    <t>Lahn-Dill-Kreis</t>
  </si>
  <si>
    <t>Nienburg/Weser</t>
  </si>
  <si>
    <t>Landsberg am Lech</t>
  </si>
  <si>
    <t>Nordfriesland</t>
  </si>
  <si>
    <t>Landshut</t>
  </si>
  <si>
    <t>Nordvorpommern</t>
  </si>
  <si>
    <t>Nordwestmecklenburg</t>
  </si>
  <si>
    <t>Leipzig</t>
  </si>
  <si>
    <t>Oberallgäu</t>
  </si>
  <si>
    <t>Lichtenfels</t>
  </si>
  <si>
    <t>Oberbergischer Kreis</t>
  </si>
  <si>
    <t>Limburg-Weilburg</t>
  </si>
  <si>
    <t>Oberhavel</t>
  </si>
  <si>
    <t>Lindau (Bodensee)</t>
  </si>
  <si>
    <t>Oldenburg</t>
  </si>
  <si>
    <t>Oldenburg, Stadt</t>
  </si>
  <si>
    <t>Olpe</t>
  </si>
  <si>
    <t>Osnabrück</t>
  </si>
  <si>
    <t>Osnabrück, Stadt</t>
  </si>
  <si>
    <t>Ostallgäu</t>
  </si>
  <si>
    <t>Ludwigsburg</t>
  </si>
  <si>
    <t>Osterholz</t>
  </si>
  <si>
    <t>Ostholstein</t>
  </si>
  <si>
    <t>Ostprignitz-Ruppin</t>
  </si>
  <si>
    <t>Main-Kinzig-Kreis</t>
  </si>
  <si>
    <t>Ostvorpommern</t>
  </si>
  <si>
    <t>Main-Spessart</t>
  </si>
  <si>
    <t>Paderborn</t>
  </si>
  <si>
    <t>Main-Tauber-Kreis</t>
  </si>
  <si>
    <t>Parchim</t>
  </si>
  <si>
    <t>Main-Taunus-Kreis</t>
  </si>
  <si>
    <t>Peine</t>
  </si>
  <si>
    <t>Pinneberg</t>
  </si>
  <si>
    <t>Mansfeld-Südharz</t>
  </si>
  <si>
    <t>Plön</t>
  </si>
  <si>
    <t>Marburg-Biedenkopf</t>
  </si>
  <si>
    <t>Prignitz</t>
  </si>
  <si>
    <t>Recklinghausen</t>
  </si>
  <si>
    <t>Regen</t>
  </si>
  <si>
    <t>Rendsburg-Eckernförde</t>
  </si>
  <si>
    <t>Reutlingen</t>
  </si>
  <si>
    <t>Rhein-Erft-Kreis</t>
  </si>
  <si>
    <t>Merzig-Wadern</t>
  </si>
  <si>
    <t>Rhein-Hunsrück-Kreis</t>
  </si>
  <si>
    <t>Rhein-Kreis Neuss</t>
  </si>
  <si>
    <t>Riesa-Großenhain</t>
  </si>
  <si>
    <t>Miltenberg</t>
  </si>
  <si>
    <t>Rostock</t>
  </si>
  <si>
    <t>Rotenburg (Wümme)</t>
  </si>
  <si>
    <t>Mittelsachsen</t>
  </si>
  <si>
    <t>Rügen</t>
  </si>
  <si>
    <t>Saalekreis</t>
  </si>
  <si>
    <t>Sächsische Schweiz</t>
  </si>
  <si>
    <t>Mühldorf am Inn</t>
  </si>
  <si>
    <t>Salzgitter, Stadt</t>
  </si>
  <si>
    <t>Salzlandkreis</t>
  </si>
  <si>
    <t>München</t>
  </si>
  <si>
    <t>Schaumburg</t>
  </si>
  <si>
    <t>Schleswig-Flensburg</t>
  </si>
  <si>
    <t>Neckar-Odenwald-Kreis</t>
  </si>
  <si>
    <t>Schmalkalden-Meiningen</t>
  </si>
  <si>
    <t>Neu-Ulm</t>
  </si>
  <si>
    <t>Schwalm-Eder-Kreis</t>
  </si>
  <si>
    <t>Schwerin</t>
  </si>
  <si>
    <t>Segeberg</t>
  </si>
  <si>
    <t>Neuburg-Schrobenhausen</t>
  </si>
  <si>
    <t>Siegen-Wittgenstein</t>
  </si>
  <si>
    <t>Neumarkt in der Oberpfalz</t>
  </si>
  <si>
    <t>Soest</t>
  </si>
  <si>
    <t>Neunkirchen</t>
  </si>
  <si>
    <t>Soltau-Fallingbostel</t>
  </si>
  <si>
    <t>Neustadt an der Aisch-Bad Windsheim</t>
  </si>
  <si>
    <t>Sonneberg</t>
  </si>
  <si>
    <t>Neustadt an der Waldnaab</t>
  </si>
  <si>
    <t>St. Wendel</t>
  </si>
  <si>
    <t>Neuwied</t>
  </si>
  <si>
    <t>Stade</t>
  </si>
  <si>
    <t>Steinburg</t>
  </si>
  <si>
    <t>Steinfurt</t>
  </si>
  <si>
    <t>Nordhausen</t>
  </si>
  <si>
    <t>Stendal</t>
  </si>
  <si>
    <t>Nordsachsen</t>
  </si>
  <si>
    <t>Stollberg</t>
  </si>
  <si>
    <t>Stormarn</t>
  </si>
  <si>
    <t>Stralsund</t>
  </si>
  <si>
    <t>Northeim</t>
  </si>
  <si>
    <t>Tirschenreuth</t>
  </si>
  <si>
    <t>Nürnberger Land</t>
  </si>
  <si>
    <t>Trier-Saarburg</t>
  </si>
  <si>
    <t>Uckermark</t>
  </si>
  <si>
    <t>Uecker-Randow</t>
  </si>
  <si>
    <t>Uelzen</t>
  </si>
  <si>
    <t>Oberspreewald-Lausitz</t>
  </si>
  <si>
    <t>Unna</t>
  </si>
  <si>
    <t>Odenwaldkreis</t>
  </si>
  <si>
    <t>Unstrut-Hainich-Kreis</t>
  </si>
  <si>
    <t>Oder-Spree</t>
  </si>
  <si>
    <t>Vechta</t>
  </si>
  <si>
    <t>Offenbach</t>
  </si>
  <si>
    <t>Verden</t>
  </si>
  <si>
    <t>Viersen</t>
  </si>
  <si>
    <t>Vogelsbergkreis</t>
  </si>
  <si>
    <t>Vogtlandkreis</t>
  </si>
  <si>
    <t>Ortenaukreis</t>
  </si>
  <si>
    <t>Vulkaneifel</t>
  </si>
  <si>
    <t>Waldeck-Frankenberg</t>
  </si>
  <si>
    <t>Waldshut</t>
  </si>
  <si>
    <t>Ostalbkreis</t>
  </si>
  <si>
    <t>Warendorf</t>
  </si>
  <si>
    <t>Weißeritzkreis</t>
  </si>
  <si>
    <t>Wesel</t>
  </si>
  <si>
    <t>Osterode am Harz</t>
  </si>
  <si>
    <t>Wesermarsch</t>
  </si>
  <si>
    <t>Westerwaldkreis</t>
  </si>
  <si>
    <t>Wilhelmshaven, Stadt</t>
  </si>
  <si>
    <t>Wismar</t>
  </si>
  <si>
    <t>Wittmund</t>
  </si>
  <si>
    <t>Wolfenbüttel</t>
  </si>
  <si>
    <t>Passau</t>
  </si>
  <si>
    <t>Wunsiedel im Fichtelgebirge</t>
  </si>
  <si>
    <t>Pfaffenhofen an der Ilm</t>
  </si>
  <si>
    <t>ausgewählter Kreis</t>
  </si>
  <si>
    <t>Potsdam-Mittelmark</t>
  </si>
  <si>
    <t>Rastatt</t>
  </si>
  <si>
    <t>Ravensburg</t>
  </si>
  <si>
    <t>Regensburg</t>
  </si>
  <si>
    <t>Rems-Murr-Kreis</t>
  </si>
  <si>
    <t>Rheingau-Taunus-Kreis</t>
  </si>
  <si>
    <t>Rheinisch-Bergischer Kreis</t>
  </si>
  <si>
    <t>Rhein-Lahn-Kreis</t>
  </si>
  <si>
    <t>Rhein-Neckar-Kreis</t>
  </si>
  <si>
    <t>Rhein-Pfalz-Kreis</t>
  </si>
  <si>
    <t>Rhein-Sieg-Kreis</t>
  </si>
  <si>
    <t>Rhön-Grabfeld</t>
  </si>
  <si>
    <t>Rosenheim</t>
  </si>
  <si>
    <t>Roth</t>
  </si>
  <si>
    <t>Rottal-Inn</t>
  </si>
  <si>
    <t>Rottweil</t>
  </si>
  <si>
    <t>Saale-Holzland-Kreis</t>
  </si>
  <si>
    <t>Saale-Orla-Kreis</t>
  </si>
  <si>
    <t>Saalfeld-Rudolstadt</t>
  </si>
  <si>
    <t>Saarbrücken, Regionalverband</t>
  </si>
  <si>
    <t>Saarlouis</t>
  </si>
  <si>
    <t>Saarpfalz-Kreis</t>
  </si>
  <si>
    <t>Schwandorf</t>
  </si>
  <si>
    <t>Schwarzwald-Baar-Kreis</t>
  </si>
  <si>
    <t>Schwäbisch Hall</t>
  </si>
  <si>
    <t>Schweinfurt</t>
  </si>
  <si>
    <t>Sigmaringen</t>
  </si>
  <si>
    <t>Sömmerda</t>
  </si>
  <si>
    <t>Spree-Neiße</t>
  </si>
  <si>
    <t>Starnberg</t>
  </si>
  <si>
    <t>Straubing-Bogen</t>
  </si>
  <si>
    <t>Südliche Weinstraße</t>
  </si>
  <si>
    <t>Südwestpfalz</t>
  </si>
  <si>
    <t>Teltow-Fläming</t>
  </si>
  <si>
    <t>Traunstein</t>
  </si>
  <si>
    <t>Tübingen</t>
  </si>
  <si>
    <t>Tuttlingen</t>
  </si>
  <si>
    <t>Unterallgäu</t>
  </si>
  <si>
    <t>Vorpommern-Greifswald</t>
  </si>
  <si>
    <t>Vorpommern-Rügen</t>
  </si>
  <si>
    <t>Wartburgkreis</t>
  </si>
  <si>
    <t>Weilheim-Schongau</t>
  </si>
  <si>
    <t>Weimarer Land</t>
  </si>
  <si>
    <t>Weißenburg-Gunzenhausen</t>
  </si>
  <si>
    <t>Werra-Meißner-Kreis</t>
  </si>
  <si>
    <t>Wetteraukreis</t>
  </si>
  <si>
    <t>Wittenberg</t>
  </si>
  <si>
    <t>Würzburg</t>
  </si>
  <si>
    <t>Zollernalbkreis</t>
  </si>
  <si>
    <t>Zwickau</t>
  </si>
  <si>
    <t>Essen</t>
  </si>
  <si>
    <t>Notwendigkeit lüftungstechnischer Maßnahmen</t>
  </si>
  <si>
    <t xml:space="preserve">Außenluftvolumenstrom über Infiltration </t>
  </si>
  <si>
    <t>Daten der Nutzungseinheit (NE)</t>
  </si>
  <si>
    <t>Gebäudedaten</t>
  </si>
  <si>
    <t>Amberg</t>
  </si>
  <si>
    <t>Baden-Baden</t>
  </si>
  <si>
    <t>Berlin</t>
  </si>
  <si>
    <t>Bochum</t>
  </si>
  <si>
    <t>Bonn</t>
  </si>
  <si>
    <t>Brandenburg an der Havel</t>
  </si>
  <si>
    <t>Braunschweig</t>
  </si>
  <si>
    <t>Chemnitz</t>
  </si>
  <si>
    <t>Cottbus</t>
  </si>
  <si>
    <t>Darmstadt</t>
  </si>
  <si>
    <t>Dessau-Roßlau</t>
  </si>
  <si>
    <t>Dortmund</t>
  </si>
  <si>
    <t>Dresden</t>
  </si>
  <si>
    <t>Duisburg</t>
  </si>
  <si>
    <t>Düsseldorf</t>
  </si>
  <si>
    <t>Eisenach</t>
  </si>
  <si>
    <t>Frankfurt (Oder), Stadt</t>
  </si>
  <si>
    <t>Hannover</t>
  </si>
  <si>
    <t>Heidelberg</t>
  </si>
  <si>
    <t>Herne</t>
  </si>
  <si>
    <t>Ingolstadt</t>
  </si>
  <si>
    <t>Jena</t>
  </si>
  <si>
    <t>Kaufbeuren</t>
  </si>
  <si>
    <t>Koblenz</t>
  </si>
  <si>
    <t>Köln</t>
  </si>
  <si>
    <t>Krefeld</t>
  </si>
  <si>
    <t>Landau in der Pfalz</t>
  </si>
  <si>
    <t>Leverkusen</t>
  </si>
  <si>
    <t>Ludwigshaven am Rhein</t>
  </si>
  <si>
    <t>Magdeburg</t>
  </si>
  <si>
    <t>Mainz</t>
  </si>
  <si>
    <t>Mannheim</t>
  </si>
  <si>
    <t>Memmingen</t>
  </si>
  <si>
    <t>Mühlheim an der Ruhr</t>
  </si>
  <si>
    <t>Neustadt an der Weinstraße</t>
  </si>
  <si>
    <t>Nürnberg</t>
  </si>
  <si>
    <t>Oberhausen</t>
  </si>
  <si>
    <t>Offenbach am Main</t>
  </si>
  <si>
    <t>Pforzheim</t>
  </si>
  <si>
    <t>Pirmasens</t>
  </si>
  <si>
    <t>Potsdam</t>
  </si>
  <si>
    <t>Remscheid</t>
  </si>
  <si>
    <t>Schwabach</t>
  </si>
  <si>
    <t>Solingen</t>
  </si>
  <si>
    <t>Speyer</t>
  </si>
  <si>
    <t>Straubing</t>
  </si>
  <si>
    <t>Stuttgart</t>
  </si>
  <si>
    <t>Suhl</t>
  </si>
  <si>
    <t>Trier</t>
  </si>
  <si>
    <t>Ulm</t>
  </si>
  <si>
    <t>Weiden in der Oberpfalz</t>
  </si>
  <si>
    <t>Weimar</t>
  </si>
  <si>
    <t>Wiesbaden</t>
  </si>
  <si>
    <t>Wolfsburg</t>
  </si>
  <si>
    <t>Worms</t>
  </si>
  <si>
    <t>Wuppertal</t>
  </si>
  <si>
    <t>Zweibrücken</t>
  </si>
  <si>
    <t>Belegung</t>
  </si>
  <si>
    <t>Hoch - z.B. Vermietung (&lt; 40 m² pro Person)</t>
  </si>
  <si>
    <t>Mehrgeschossiges Einfamilienhaus</t>
  </si>
  <si>
    <t>Bungalow</t>
  </si>
  <si>
    <t>Mehrgeschossige Wohnung im MFH</t>
  </si>
  <si>
    <t>Eingeschossige Wohnung im MFH</t>
  </si>
  <si>
    <t>fWS</t>
  </si>
  <si>
    <t>Fläche NE</t>
  </si>
  <si>
    <t>Anteil bis 210 m²</t>
  </si>
  <si>
    <t>Anteil &gt;210 m²</t>
  </si>
  <si>
    <t>Auslegung NL (NE &gt; 210 m²)</t>
  </si>
  <si>
    <t>1/h</t>
  </si>
  <si>
    <t>Auswahl LtM</t>
  </si>
  <si>
    <t>Pa</t>
  </si>
  <si>
    <t>m³</t>
  </si>
  <si>
    <t>FL Raum</t>
  </si>
  <si>
    <t>Nr</t>
  </si>
  <si>
    <t>Typ</t>
  </si>
  <si>
    <t>Name</t>
  </si>
  <si>
    <t>Abl
min</t>
  </si>
  <si>
    <t>Abl
max</t>
  </si>
  <si>
    <t>FL</t>
  </si>
  <si>
    <t>Vergleich FL mit 18017-min</t>
  </si>
  <si>
    <t>Nutz</t>
  </si>
  <si>
    <t>VL</t>
  </si>
  <si>
    <t>q_v,ges,FL</t>
  </si>
  <si>
    <t>Wohnen</t>
  </si>
  <si>
    <t>R1</t>
  </si>
  <si>
    <t>q_v,ab,18017,min</t>
  </si>
  <si>
    <t>R2</t>
  </si>
  <si>
    <t>R3</t>
  </si>
  <si>
    <t>R4</t>
  </si>
  <si>
    <t>R5</t>
  </si>
  <si>
    <t>EL</t>
  </si>
  <si>
    <t>R6</t>
  </si>
  <si>
    <t>WC/Toilette</t>
  </si>
  <si>
    <t>WC fensterlos</t>
  </si>
  <si>
    <t>HAR</t>
  </si>
  <si>
    <t>Hobby</t>
  </si>
  <si>
    <t>Arbeit</t>
  </si>
  <si>
    <t>Gäste</t>
  </si>
  <si>
    <t>Kinder</t>
  </si>
  <si>
    <t>Schlafen</t>
  </si>
  <si>
    <t>R7</t>
  </si>
  <si>
    <t>R8</t>
  </si>
  <si>
    <t>R9</t>
  </si>
  <si>
    <t>R10</t>
  </si>
  <si>
    <t>R11</t>
  </si>
  <si>
    <t>R12</t>
  </si>
  <si>
    <t>R13</t>
  </si>
  <si>
    <t>R14</t>
  </si>
  <si>
    <t>R15</t>
  </si>
  <si>
    <t>Gesamtfläche NE</t>
  </si>
  <si>
    <t>m</t>
  </si>
  <si>
    <t>Höhe</t>
  </si>
  <si>
    <t>Volumen</t>
  </si>
  <si>
    <t>Fläche fensterlos</t>
  </si>
  <si>
    <t>Fläche freie Lüftung</t>
  </si>
  <si>
    <t>Minimal</t>
  </si>
  <si>
    <t>Maximal</t>
  </si>
  <si>
    <t xml:space="preserve">NL </t>
  </si>
  <si>
    <t>RL</t>
  </si>
  <si>
    <t>IL</t>
  </si>
  <si>
    <t>Küche/Kochnische</t>
  </si>
  <si>
    <t>Abluftvolumenstrom</t>
  </si>
  <si>
    <t>abschaltbar</t>
  </si>
  <si>
    <t>Nein</t>
  </si>
  <si>
    <t>Ja</t>
  </si>
  <si>
    <t>Feuerstätte</t>
  </si>
  <si>
    <t>ez,Abluft</t>
  </si>
  <si>
    <t>Gebäudelage fLage</t>
  </si>
  <si>
    <t>normale Lage</t>
  </si>
  <si>
    <t>Querlüftung in mehrgeschossigen Nutzungseinheiten</t>
  </si>
  <si>
    <t>Querlüftung in eingeschossigen Nutzungseinheiten (mit wesentlichem Höhenunterschied zwischen Leckagen und ALD)</t>
  </si>
  <si>
    <t>Über 15 m über Grund</t>
  </si>
  <si>
    <t>Mehr als eine windausgesetzte Fassade</t>
  </si>
  <si>
    <t>thermischer Auftrieb fTherm</t>
  </si>
  <si>
    <t>ez,Frei</t>
  </si>
  <si>
    <t>fWind</t>
  </si>
  <si>
    <t>fTherm</t>
  </si>
  <si>
    <t>dp,Frei</t>
  </si>
  <si>
    <t>dp,Abluft</t>
  </si>
  <si>
    <t>Infiltration Frei+18017</t>
  </si>
  <si>
    <t>Infiltration 18017/Abluft</t>
  </si>
  <si>
    <t>Summe Abl min</t>
  </si>
  <si>
    <t>Summe Abl max</t>
  </si>
  <si>
    <t>cm²</t>
  </si>
  <si>
    <t>q_v,ab,18017,max</t>
  </si>
  <si>
    <t>q_v,ges,RL</t>
  </si>
  <si>
    <t>Volumenstrom über ALD FL</t>
  </si>
  <si>
    <t>Volumenstrom über ÜLD, Zulufträume FL</t>
  </si>
  <si>
    <t>Volumenstrom über ALD RL</t>
  </si>
  <si>
    <t>Volumenstrom über ÜLD, Zulufträume RL</t>
  </si>
  <si>
    <t>Vergleich RL mit 18017-max</t>
  </si>
  <si>
    <t>Fall 1 - FL</t>
  </si>
  <si>
    <t>Fall 2 - FL</t>
  </si>
  <si>
    <t>Fall 3 - RL</t>
  </si>
  <si>
    <t>Höhe der NE über Grund fHöhe</t>
  </si>
  <si>
    <t>einseitig orientierte NE</t>
  </si>
  <si>
    <t>Raumauswahl</t>
  </si>
  <si>
    <t>Textbausteine</t>
  </si>
  <si>
    <t>Entlüftungssysteme nach DIN 18017-3 dienen der Lüftung der fensterlosen Bäder und Toilettenräume. Sie erfüllen i.d.R. nicht die Anforderungen an ventilatorgestützte Lüftungssysteme. In vorliegender Auslegung dienen sie der Unterstützung der freien Lüftung.</t>
  </si>
  <si>
    <t>Auslegungsvolumenstrom:</t>
  </si>
  <si>
    <t>Kochnische fensterlos</t>
  </si>
  <si>
    <t>Achtung:</t>
  </si>
  <si>
    <t>Die ALD werden so ausgelegt, dass eine gleichmäßige Belüftung der einzelnen Räume sowie der gesamten Nutzungseinheit erfolgt.</t>
  </si>
  <si>
    <r>
      <t>Vorgabewert des n</t>
    </r>
    <r>
      <rPr>
        <b/>
        <vertAlign val="subscript"/>
        <sz val="10"/>
        <rFont val="Arial"/>
        <family val="2"/>
      </rPr>
      <t>50,Ausl</t>
    </r>
  </si>
  <si>
    <r>
      <t>q</t>
    </r>
    <r>
      <rPr>
        <vertAlign val="subscript"/>
        <sz val="10"/>
        <rFont val="Arial"/>
        <family val="2"/>
      </rPr>
      <t>v,NL,NE</t>
    </r>
    <r>
      <rPr>
        <sz val="10"/>
        <rFont val="Arial"/>
        <family val="2"/>
      </rPr>
      <t xml:space="preserve"> bis 210 m²</t>
    </r>
  </si>
  <si>
    <r>
      <t>q</t>
    </r>
    <r>
      <rPr>
        <vertAlign val="subscript"/>
        <sz val="10"/>
        <rFont val="Arial"/>
        <family val="2"/>
      </rPr>
      <t>v,NL,NE</t>
    </r>
    <r>
      <rPr>
        <sz val="10"/>
        <rFont val="Arial"/>
        <family val="2"/>
      </rPr>
      <t xml:space="preserve"> über 210 m²</t>
    </r>
  </si>
  <si>
    <r>
      <t>q</t>
    </r>
    <r>
      <rPr>
        <vertAlign val="subscript"/>
        <sz val="10"/>
        <rFont val="Arial"/>
        <family val="2"/>
      </rPr>
      <t>v,NL,NE</t>
    </r>
    <r>
      <rPr>
        <sz val="10"/>
        <rFont val="Arial"/>
        <family val="2"/>
      </rPr>
      <t xml:space="preserve"> gesamt</t>
    </r>
  </si>
  <si>
    <r>
      <t>Planungswert des n</t>
    </r>
    <r>
      <rPr>
        <b/>
        <vertAlign val="subscript"/>
        <sz val="10"/>
        <rFont val="Arial"/>
        <family val="2"/>
      </rPr>
      <t>50,Ausl</t>
    </r>
  </si>
  <si>
    <r>
      <t>q</t>
    </r>
    <r>
      <rPr>
        <vertAlign val="subscript"/>
        <sz val="10"/>
        <rFont val="Arial"/>
        <family val="2"/>
      </rPr>
      <t>v,ALD,FL</t>
    </r>
  </si>
  <si>
    <r>
      <t>q</t>
    </r>
    <r>
      <rPr>
        <vertAlign val="subscript"/>
        <sz val="10"/>
        <rFont val="Arial"/>
        <family val="2"/>
      </rPr>
      <t>v,ÜLD,FL</t>
    </r>
  </si>
  <si>
    <r>
      <t>A</t>
    </r>
    <r>
      <rPr>
        <vertAlign val="subscript"/>
        <sz val="10"/>
        <rFont val="Arial"/>
        <family val="2"/>
      </rPr>
      <t>_ÜLD,FL</t>
    </r>
  </si>
  <si>
    <r>
      <t>q</t>
    </r>
    <r>
      <rPr>
        <vertAlign val="subscript"/>
        <sz val="10"/>
        <rFont val="Arial"/>
        <family val="2"/>
      </rPr>
      <t>v,ALD,RL</t>
    </r>
  </si>
  <si>
    <r>
      <t>q</t>
    </r>
    <r>
      <rPr>
        <vertAlign val="subscript"/>
        <sz val="10"/>
        <rFont val="Arial"/>
        <family val="2"/>
      </rPr>
      <t>v,ÜLD,RL</t>
    </r>
  </si>
  <si>
    <r>
      <t>A</t>
    </r>
    <r>
      <rPr>
        <vertAlign val="subscript"/>
        <sz val="10"/>
        <rFont val="Arial"/>
        <family val="2"/>
      </rPr>
      <t>_ÜLD,RL</t>
    </r>
  </si>
  <si>
    <r>
      <t>Volumenströme</t>
    </r>
    <r>
      <rPr>
        <b/>
        <vertAlign val="subscript"/>
        <sz val="10"/>
        <rFont val="Arial"/>
        <family val="2"/>
      </rPr>
      <t>Flächenbezogen</t>
    </r>
  </si>
  <si>
    <r>
      <t>Lüftung zum Feuchteschutz q</t>
    </r>
    <r>
      <rPr>
        <vertAlign val="subscript"/>
        <sz val="10"/>
        <rFont val="Arial"/>
        <family val="2"/>
      </rPr>
      <t>v,FL</t>
    </r>
  </si>
  <si>
    <r>
      <t>Nennlüftung q</t>
    </r>
    <r>
      <rPr>
        <vertAlign val="subscript"/>
        <sz val="10"/>
        <rFont val="Arial"/>
        <family val="2"/>
      </rPr>
      <t>v,NL</t>
    </r>
  </si>
  <si>
    <r>
      <t>Reduzierte Lüftung q</t>
    </r>
    <r>
      <rPr>
        <vertAlign val="subscript"/>
        <sz val="10"/>
        <rFont val="Arial"/>
        <family val="2"/>
      </rPr>
      <t>v,RL</t>
    </r>
  </si>
  <si>
    <r>
      <t>Intensivlüftung q</t>
    </r>
    <r>
      <rPr>
        <vertAlign val="subscript"/>
        <sz val="10"/>
        <rFont val="Arial"/>
        <family val="2"/>
      </rPr>
      <t>v,IL</t>
    </r>
  </si>
  <si>
    <r>
      <t>FL</t>
    </r>
    <r>
      <rPr>
        <vertAlign val="subscript"/>
        <sz val="10"/>
        <rFont val="Arial"/>
        <family val="2"/>
      </rPr>
      <t>Fläche</t>
    </r>
  </si>
  <si>
    <r>
      <t>FL</t>
    </r>
    <r>
      <rPr>
        <vertAlign val="subscript"/>
        <sz val="10"/>
        <rFont val="Arial"/>
        <family val="2"/>
      </rPr>
      <t xml:space="preserve"> Auslegung</t>
    </r>
  </si>
  <si>
    <r>
      <t>Inf</t>
    </r>
    <r>
      <rPr>
        <vertAlign val="subscript"/>
        <sz val="10"/>
        <rFont val="Arial"/>
        <family val="2"/>
      </rPr>
      <t>ALD,18017</t>
    </r>
  </si>
  <si>
    <r>
      <t>q</t>
    </r>
    <r>
      <rPr>
        <vertAlign val="subscript"/>
        <sz val="10"/>
        <rFont val="Arial"/>
        <family val="2"/>
      </rPr>
      <t>v,ALD</t>
    </r>
  </si>
  <si>
    <r>
      <t>q</t>
    </r>
    <r>
      <rPr>
        <vertAlign val="subscript"/>
        <sz val="10"/>
        <rFont val="Arial"/>
        <family val="2"/>
      </rPr>
      <t>v,ÜLD</t>
    </r>
  </si>
  <si>
    <r>
      <t>Inf</t>
    </r>
    <r>
      <rPr>
        <vertAlign val="subscript"/>
        <sz val="10"/>
        <rFont val="Arial"/>
        <family val="2"/>
      </rPr>
      <t>ALD,Frei</t>
    </r>
  </si>
  <si>
    <t>∆p</t>
  </si>
  <si>
    <t>Bauvorhaben</t>
  </si>
  <si>
    <t>Nutzungseinheit</t>
  </si>
  <si>
    <t>Datum</t>
  </si>
  <si>
    <t>Ersteller des Lüftungskonzepts</t>
  </si>
  <si>
    <t>Firma</t>
  </si>
  <si>
    <t>AP</t>
  </si>
  <si>
    <t>Telefon</t>
  </si>
  <si>
    <t>E-Mail</t>
  </si>
  <si>
    <t>Nutzungseinheit (NE)</t>
  </si>
  <si>
    <t>Lage der NE im Gebäude</t>
  </si>
  <si>
    <t>Kreis</t>
  </si>
  <si>
    <t>Anzahl der Fassaden der NE</t>
  </si>
  <si>
    <t>Windgebiet</t>
  </si>
  <si>
    <t>Raumluftabhängige Feuerstätte</t>
  </si>
  <si>
    <t>belüftete Fläche der NE</t>
  </si>
  <si>
    <t>Massnahme</t>
  </si>
  <si>
    <t>mittlere Raumhöhe der NE</t>
  </si>
  <si>
    <t>Hoch - Gebäude nach 1995 gebaut oder modernisiert</t>
  </si>
  <si>
    <t>Gering - Gebäude vor 1995 gebaut</t>
  </si>
  <si>
    <r>
      <t>Neubau oder Modernisierung (n</t>
    </r>
    <r>
      <rPr>
        <vertAlign val="subscript"/>
        <sz val="10"/>
        <rFont val="Arial"/>
        <family val="2"/>
      </rPr>
      <t>50,Annahme</t>
    </r>
    <r>
      <rPr>
        <sz val="10"/>
        <rFont val="Arial"/>
        <family val="2"/>
      </rPr>
      <t xml:space="preserve"> = 1,5 1/h)</t>
    </r>
  </si>
  <si>
    <r>
      <t>Teilsanierung z.B. Fenstertausch (n</t>
    </r>
    <r>
      <rPr>
        <vertAlign val="subscript"/>
        <sz val="10"/>
        <rFont val="Arial"/>
        <family val="2"/>
      </rPr>
      <t>50,Annahme</t>
    </r>
    <r>
      <rPr>
        <sz val="10"/>
        <rFont val="Arial"/>
        <family val="2"/>
      </rPr>
      <t xml:space="preserve"> = 2,0 1/h)</t>
    </r>
  </si>
  <si>
    <t>Feststellung der Notwendigkeit lüftungstechnischer Maßnahmen</t>
  </si>
  <si>
    <t>Lüftungssystem für fensterlose Räume</t>
  </si>
  <si>
    <t>Anteil Bäder / WC ohne Fenster</t>
  </si>
  <si>
    <t>Notwendige Lüftung zum Feuchteschutz ohne die fensterlosen Bäder und WC</t>
  </si>
  <si>
    <t>Schachtlüftung</t>
  </si>
  <si>
    <t>SL</t>
  </si>
  <si>
    <t>Flur</t>
  </si>
  <si>
    <t>Fenstertyp</t>
  </si>
  <si>
    <t>Holzfenster</t>
  </si>
  <si>
    <t>ez,Konzept</t>
  </si>
  <si>
    <t>Laufzeit</t>
  </si>
  <si>
    <t>Flur mit Fenster</t>
  </si>
  <si>
    <t>Überströmen</t>
  </si>
  <si>
    <t>Nach DIN 1946-6 sind lüftungstechnische Maßnahmen notwendig.</t>
  </si>
  <si>
    <t>Nach DIN 1946-6  sind keine lüftungstechnischen Maßnahmen notwendig. Allerdings empfehlen wir aufgrund von jahrelanger Praxis, auch wenn keine lüftungstechnischen Maßnahmen nötig sind, jeden Raum mit REGEL-air auszustatten.</t>
  </si>
  <si>
    <t xml:space="preserve">Volumenstrom Regelair </t>
  </si>
  <si>
    <r>
      <rPr>
        <sz val="10"/>
        <rFont val="Arial Narrow"/>
        <family val="2"/>
      </rPr>
      <t>Δ</t>
    </r>
    <r>
      <rPr>
        <sz val="10"/>
        <rFont val="Arial"/>
        <family val="2"/>
      </rPr>
      <t>p=</t>
    </r>
  </si>
  <si>
    <t>Volumenstrom Regelair AD</t>
  </si>
  <si>
    <t>1 Paar FFL (FFL)</t>
  </si>
  <si>
    <t>1,5 Paar FFL (FFL)</t>
  </si>
  <si>
    <t>2 Paar FFL (FFL)</t>
  </si>
  <si>
    <t>1 Paar FFL + 1 ÜL (Plus)</t>
  </si>
  <si>
    <t>1,5 Paar FFL + 1 ÜL (Plus)</t>
  </si>
  <si>
    <t>2 Paar FFL + 1 ÜL (Plus)</t>
  </si>
  <si>
    <t>1 Paar FFL + 1 Paar SL (Forte)</t>
  </si>
  <si>
    <t>Fensterflügel vorhanden und ausgestattet</t>
  </si>
  <si>
    <t>_1</t>
  </si>
  <si>
    <t>_2</t>
  </si>
  <si>
    <t>_3</t>
  </si>
  <si>
    <t>_4</t>
  </si>
  <si>
    <t>_5</t>
  </si>
  <si>
    <t>_6</t>
  </si>
  <si>
    <t>_7</t>
  </si>
  <si>
    <t>_8</t>
  </si>
  <si>
    <t>_9</t>
  </si>
  <si>
    <t>_10</t>
  </si>
  <si>
    <t>_11</t>
  </si>
  <si>
    <t>_12</t>
  </si>
  <si>
    <t>_13</t>
  </si>
  <si>
    <t>_14</t>
  </si>
  <si>
    <t>_15</t>
  </si>
  <si>
    <t>_16</t>
  </si>
  <si>
    <t>_17</t>
  </si>
  <si>
    <t>_18</t>
  </si>
  <si>
    <t>_19</t>
  </si>
  <si>
    <t>_20</t>
  </si>
  <si>
    <t>Für die fensterlosen Bäder und WC ist ein Entlüftungssystem nach DIN 18017-3 notwendig.</t>
  </si>
  <si>
    <t>ALD in Küche, Bad, WC mit Entlüftungssystem sollen auf ein Minimum beschränkt sein.</t>
  </si>
  <si>
    <t>Es werden abschaltbare Entlüftungssysteme (beliebige Laufzeit) nach DIN 18017-3 geplant. Der maximale Abluftvolumenstrom in fensterlosen Bädern und Kochnischen muss mindestens 60 m³/h und in fensterlosen WC/Toiletten mindestens 30 m³/h betragen.</t>
  </si>
  <si>
    <t>Bis 15 m über Grund (bis 4 Vollgeschosse)</t>
  </si>
  <si>
    <t>Bad/Du</t>
  </si>
  <si>
    <t>Bad/Du fensterlos</t>
  </si>
  <si>
    <t>Eine windausgesetzte Fassade (Fenster)</t>
  </si>
  <si>
    <t>Lüftung im fensterlosen Bad/WC</t>
  </si>
  <si>
    <t>Freie Schachtlüftung</t>
  </si>
  <si>
    <t>offene Lage</t>
  </si>
  <si>
    <t>geschlossene Lage</t>
  </si>
  <si>
    <t>In fensterlosen Räumen können keine ALD vorgesehen werden - bitte ändern!</t>
  </si>
  <si>
    <t>Auslegung der lüftungstechnischen Maßnahme:</t>
  </si>
  <si>
    <r>
      <t>FL</t>
    </r>
    <r>
      <rPr>
        <vertAlign val="subscript"/>
        <sz val="10"/>
        <rFont val="Arial"/>
        <family val="2"/>
      </rPr>
      <t>R.ohne fensterlos</t>
    </r>
  </si>
  <si>
    <t>Querlüftung</t>
  </si>
  <si>
    <t>Die notwendigen lüftungstechnischen Maßnahmen werden nach der DIN 1946-6:2019-12 ausgelegt. Wir empfehlen aufgrund von jahrelanger Praxis, auch wenn keine lüftungstechnischen Maßnahmen nötig sind, jeden Raum mit REGEL-air auszustatten. Bei Auslegung nach der Lüftung zum Feuchteschutz müssen weitere Feuchtelasten z.B. durch Wäschetrocknungsprozesse durch manuelles Öffnen der Fenster abgeführt werden. 
Je nach Nutzung und Bedarf sind für eine hygienische Lüftung die Fenster zu öffnen.</t>
  </si>
  <si>
    <t>ACHTUNG: Der notwendige Außenluftvolumenstrom ist noch nicht vollständig über die REGEL-air abgedeckt.</t>
  </si>
  <si>
    <t>Reduzierte Lüftung qv,RL</t>
  </si>
  <si>
    <t>Bei Nutzungseinheiten mit nur einer Außenfassade mit Fenstern wird empfohlen in Bad,  Toilette oder Küche ein Entlüftungssystem nach 
DIN 18017-3 vorzusehen, das dauernd die Lüftung zum Feuchteschutz sicherstellt.</t>
  </si>
  <si>
    <t>B24</t>
  </si>
  <si>
    <t>B26</t>
  </si>
  <si>
    <t>D32</t>
  </si>
  <si>
    <t>D34</t>
  </si>
  <si>
    <t>D35</t>
  </si>
  <si>
    <t>B43 etc</t>
  </si>
  <si>
    <t>B95</t>
  </si>
  <si>
    <t>B92</t>
  </si>
  <si>
    <t>max:</t>
  </si>
  <si>
    <t>Erläuterung CG91</t>
  </si>
  <si>
    <r>
      <t>Volumenströme</t>
    </r>
    <r>
      <rPr>
        <b/>
        <vertAlign val="subscript"/>
        <sz val="10"/>
        <rFont val="Arial"/>
        <family val="2"/>
      </rPr>
      <t xml:space="preserve">Raumbezogen </t>
    </r>
    <r>
      <rPr>
        <b/>
        <sz val="10"/>
        <rFont val="Arial"/>
        <family val="2"/>
      </rPr>
      <t>(FL</t>
    </r>
    <r>
      <rPr>
        <b/>
        <vertAlign val="subscript"/>
        <sz val="10"/>
        <rFont val="Arial"/>
        <family val="2"/>
      </rPr>
      <t>Raum</t>
    </r>
    <r>
      <rPr>
        <b/>
        <sz val="10"/>
        <rFont val="Arial"/>
        <family val="2"/>
      </rPr>
      <t>-basiert)</t>
    </r>
  </si>
  <si>
    <t>immer bei dp nat</t>
  </si>
  <si>
    <t>1 FFLHmax (Schallschutz)</t>
  </si>
  <si>
    <t>1 FFLHmax (Standard)</t>
  </si>
  <si>
    <t>1 FFLHmax (hohe Luftmenge)</t>
  </si>
  <si>
    <t>2 FFLHmax (Standard)</t>
  </si>
  <si>
    <t>2 FFLHmax (hohe Luftmenge)</t>
  </si>
  <si>
    <t>1 Stück FFLH (Typ 24)</t>
  </si>
  <si>
    <t>2 Stück FFLH (Typ 24)</t>
  </si>
  <si>
    <r>
      <t>Schachtlüftung FL</t>
    </r>
    <r>
      <rPr>
        <vertAlign val="subscript"/>
        <sz val="10"/>
        <rFont val="Arial"/>
        <family val="2"/>
      </rPr>
      <t>R.ab</t>
    </r>
  </si>
  <si>
    <t>Aluminiumfenster</t>
  </si>
  <si>
    <t>Volumenstrom Regelair Aluminium</t>
  </si>
  <si>
    <t>1 FFLuni Standard</t>
  </si>
  <si>
    <t>1 FFLuni hohe Luftmengen</t>
  </si>
  <si>
    <t>2 FFLuni Standard</t>
  </si>
  <si>
    <t>2 FFLuni hohe Luftmengen</t>
  </si>
  <si>
    <t>ALD - Typen</t>
  </si>
  <si>
    <t>Kunststofffenster_mit_Anschlagdichtung</t>
  </si>
  <si>
    <t>Kunststofffenster_mit_Mitteldichtung</t>
  </si>
  <si>
    <t>Bauherr / Auftraggeber</t>
  </si>
  <si>
    <t>Schüco 1 Paar waager. + 1 Paar senkr.</t>
  </si>
  <si>
    <t>Aluminiumfenster_Heroal</t>
  </si>
  <si>
    <t>Aluminiumfenster_Hueck</t>
  </si>
  <si>
    <t>Aluminiumfenster_Schüco</t>
  </si>
  <si>
    <t>Volumenstrom Regelair Aluminium Heroal</t>
  </si>
  <si>
    <t>Volumenstrom Regelair Aluminium Hueck</t>
  </si>
  <si>
    <t>Volumenstrom Regelair Aluminium Schüco</t>
  </si>
  <si>
    <t>1,3 </t>
  </si>
  <si>
    <t> 1,9</t>
  </si>
  <si>
    <t> 2,7</t>
  </si>
  <si>
    <t> 4,1</t>
  </si>
  <si>
    <t> 2,6</t>
  </si>
  <si>
    <t> 3,7</t>
  </si>
  <si>
    <t> 4,9</t>
  </si>
  <si>
    <t> 7,0</t>
  </si>
  <si>
    <t>Hueck 0,5 Paar waagerecht</t>
  </si>
  <si>
    <t>Hueck 1 Paar waagerecht</t>
  </si>
  <si>
    <t>Hueck 1 Paar senkrecht</t>
  </si>
  <si>
    <t>Heroal 0,5 Paar waagerecht</t>
  </si>
  <si>
    <t>Heroal 1 Paar waagerecht</t>
  </si>
  <si>
    <t>Heroal 2 Paar waagerecht</t>
  </si>
  <si>
    <t>Schüco 0,5 Paar waagerecht</t>
  </si>
  <si>
    <t>Schüco 1 Paar waagerecht</t>
  </si>
  <si>
    <t>Schüco 1 Paar senkrecht</t>
  </si>
  <si>
    <t>Heroal 1,5 Paar waagerecht</t>
  </si>
  <si>
    <t>Hueck 1 Paar waager. + 1 Paar senkr.</t>
  </si>
  <si>
    <t>1 FFL-m Standard</t>
  </si>
  <si>
    <t>2 FFL-m Standard</t>
  </si>
  <si>
    <t>2 FFL-m Grundlüftung</t>
  </si>
  <si>
    <t>2 FFL-m hohe Volumenströme</t>
  </si>
  <si>
    <t>1 FFL-m Grundlüftung</t>
  </si>
  <si>
    <t>Zählung der ALD-Typen (Leere auch!)</t>
  </si>
  <si>
    <t xml:space="preserve">Fenstertyp zur Auswahl </t>
  </si>
  <si>
    <t>Suedwind GMBH</t>
  </si>
  <si>
    <t>Handwerkerstr. 14</t>
  </si>
  <si>
    <t>39057 Eppan</t>
  </si>
  <si>
    <t>info@ambientika.eu</t>
  </si>
  <si>
    <t>Neubau oder Modernisierung (n50,Annahme = 1,5 1/h)</t>
  </si>
  <si>
    <t>Lüftung zum Feuchteschutz qv,FL</t>
  </si>
  <si>
    <t>LÜFTUNGSKONZEPT NACH DIN 1946-6</t>
  </si>
  <si>
    <r>
      <t>geplante/gemessene Luftdichtheit der Gebäudehülle n</t>
    </r>
    <r>
      <rPr>
        <vertAlign val="subscript"/>
        <sz val="12"/>
        <rFont val="Calibri"/>
        <family val="2"/>
        <scheme val="minor"/>
      </rPr>
      <t>50</t>
    </r>
  </si>
  <si>
    <r>
      <t>V</t>
    </r>
    <r>
      <rPr>
        <b/>
        <vertAlign val="subscript"/>
        <sz val="12"/>
        <rFont val="Calibri"/>
        <family val="2"/>
        <scheme val="minor"/>
      </rPr>
      <t>NE</t>
    </r>
  </si>
  <si>
    <r>
      <t>n</t>
    </r>
    <r>
      <rPr>
        <b/>
        <vertAlign val="subscript"/>
        <sz val="12"/>
        <rFont val="Calibri"/>
        <family val="2"/>
        <scheme val="minor"/>
      </rPr>
      <t>50</t>
    </r>
  </si>
  <si>
    <r>
      <t>e</t>
    </r>
    <r>
      <rPr>
        <b/>
        <vertAlign val="subscript"/>
        <sz val="12"/>
        <rFont val="Calibri"/>
        <family val="2"/>
        <scheme val="minor"/>
      </rPr>
      <t>z</t>
    </r>
  </si>
  <si>
    <r>
      <t>q</t>
    </r>
    <r>
      <rPr>
        <b/>
        <vertAlign val="subscript"/>
        <sz val="12"/>
        <rFont val="Calibri"/>
        <family val="2"/>
        <scheme val="minor"/>
      </rPr>
      <t>v,DIN18017,max</t>
    </r>
  </si>
  <si>
    <r>
      <t>q</t>
    </r>
    <r>
      <rPr>
        <b/>
        <vertAlign val="subscript"/>
        <sz val="12"/>
        <rFont val="Calibri"/>
        <family val="2"/>
        <scheme val="minor"/>
      </rPr>
      <t>v,DIN18017,min</t>
    </r>
  </si>
  <si>
    <t xml:space="preserve">Nennlüftung qv,NL - DIBT zertifiziert: 2x Ambientika= 41m ³/h </t>
  </si>
  <si>
    <t>Wenn Sie nun die Luftmenge, welche bei der Nennlüftung errechnet wurde durch 41 teilen, erhalten Sie die Anzahl der Lüfterpaare, welche mindestens notwendig sind um die Norm zu erfüllen.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</si>
</sst>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0.00\ &quot;DM&quot;_-;\-* #,##0.00\ &quot;DM&quot;_-;_-* &quot;-&quot;??\ &quot;DM&quot;_-;_-@_-"/>
    <numFmt numFmtId="166" formatCode="0.000"/>
    <numFmt numFmtId="167" formatCode="dd/mm/yy;@"/>
    <numFmt numFmtId="168" formatCode="00000"/>
  </numFmts>
  <fonts count="27" x14ac:knownFonts="1">
    <font>
      <sz val="11"/>
      <color theme="1"/>
      <name val="Calibri"/>
      <family val="2"/>
      <scheme val="minor"/>
    </font>
    <font>
      <sz val="11"/>
      <color theme="1"/>
      <name val="Calibri"/>
      <family val="2"/>
      <scheme val="minor"/>
    </font>
    <font>
      <b/>
      <sz val="12"/>
      <name val="Arial"/>
      <family val="2"/>
    </font>
    <font>
      <sz val="10"/>
      <name val="Arial"/>
      <family val="2"/>
    </font>
    <font>
      <u/>
      <sz val="10"/>
      <color indexed="12"/>
      <name val="Arial"/>
      <family val="2"/>
    </font>
    <font>
      <sz val="11"/>
      <name val="Arial"/>
      <family val="2"/>
    </font>
    <font>
      <sz val="10"/>
      <color indexed="22"/>
      <name val="Arial"/>
      <family val="2"/>
    </font>
    <font>
      <b/>
      <sz val="10"/>
      <name val="Arial"/>
      <family val="2"/>
    </font>
    <font>
      <vertAlign val="subscript"/>
      <sz val="10"/>
      <name val="Arial"/>
      <family val="2"/>
    </font>
    <font>
      <b/>
      <vertAlign val="subscript"/>
      <sz val="10"/>
      <name val="Arial"/>
      <family val="2"/>
    </font>
    <font>
      <b/>
      <sz val="10"/>
      <color theme="1"/>
      <name val="Arial"/>
      <family val="2"/>
    </font>
    <font>
      <sz val="10"/>
      <color theme="1"/>
      <name val="Arial"/>
      <family val="2"/>
    </font>
    <font>
      <b/>
      <sz val="10"/>
      <color indexed="40"/>
      <name val="Arial"/>
      <family val="2"/>
    </font>
    <font>
      <sz val="10"/>
      <name val="Arial Narrow"/>
      <family val="2"/>
    </font>
    <font>
      <sz val="12"/>
      <name val="Arial"/>
      <family val="2"/>
    </font>
    <font>
      <sz val="8"/>
      <name val="Arial"/>
      <family val="2"/>
    </font>
    <font>
      <u/>
      <sz val="11"/>
      <color theme="10"/>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sz val="12"/>
      <name val="Calibri"/>
      <family val="2"/>
      <scheme val="minor"/>
    </font>
    <font>
      <sz val="12"/>
      <name val="Calibri"/>
      <family val="2"/>
      <scheme val="minor"/>
    </font>
    <font>
      <u/>
      <sz val="12"/>
      <color theme="10"/>
      <name val="Calibri"/>
      <family val="2"/>
      <scheme val="minor"/>
    </font>
    <font>
      <vertAlign val="subscript"/>
      <sz val="12"/>
      <name val="Calibri"/>
      <family val="2"/>
      <scheme val="minor"/>
    </font>
    <font>
      <b/>
      <vertAlign val="subscript"/>
      <sz val="12"/>
      <name val="Calibri"/>
      <family val="2"/>
      <scheme val="minor"/>
    </font>
    <font>
      <i/>
      <sz val="12"/>
      <name val="Calibri"/>
      <family val="2"/>
      <scheme val="minor"/>
    </font>
    <font>
      <i/>
      <sz val="12"/>
      <color rgb="FFFF0000"/>
      <name val="Calibri"/>
      <family val="2"/>
      <scheme val="minor"/>
    </font>
  </fonts>
  <fills count="10">
    <fill>
      <patternFill patternType="none"/>
    </fill>
    <fill>
      <patternFill patternType="gray125"/>
    </fill>
    <fill>
      <patternFill patternType="solid">
        <fgColor rgb="FFFBFBFB"/>
        <bgColor indexed="64"/>
      </patternFill>
    </fill>
    <fill>
      <patternFill patternType="solid">
        <fgColor theme="0"/>
        <bgColor indexed="64"/>
      </patternFill>
    </fill>
    <fill>
      <patternFill patternType="solid">
        <fgColor rgb="FFFFC7CE"/>
        <bgColor indexed="64"/>
      </patternFill>
    </fill>
    <fill>
      <patternFill patternType="solid">
        <fgColor theme="2"/>
        <bgColor indexed="64"/>
      </patternFill>
    </fill>
    <fill>
      <patternFill patternType="solid">
        <fgColor rgb="FFFFFF00"/>
        <bgColor indexed="64"/>
      </patternFill>
    </fill>
    <fill>
      <patternFill patternType="solid">
        <fgColor theme="4" tint="-0.249977111117893"/>
        <bgColor indexed="64"/>
      </patternFill>
    </fill>
    <fill>
      <patternFill patternType="solid">
        <fgColor theme="4"/>
        <bgColor indexed="64"/>
      </patternFill>
    </fill>
    <fill>
      <patternFill patternType="solid">
        <fgColor rgb="FF3B99CC"/>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auto="1"/>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auto="1"/>
      </left>
      <right style="thin">
        <color auto="1"/>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thin">
        <color indexed="64"/>
      </right>
      <top style="thin">
        <color indexed="64"/>
      </top>
      <bottom style="medium">
        <color indexed="64"/>
      </bottom>
      <diagonal/>
    </border>
    <border>
      <left/>
      <right style="medium">
        <color auto="1"/>
      </right>
      <top style="thin">
        <color auto="1"/>
      </top>
      <bottom style="medium">
        <color auto="1"/>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auto="1"/>
      </right>
      <top style="thin">
        <color auto="1"/>
      </top>
      <bottom/>
      <diagonal/>
    </border>
    <border>
      <left style="thin">
        <color auto="1"/>
      </left>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13">
    <xf numFmtId="0" fontId="0" fillId="0" borderId="0"/>
    <xf numFmtId="0" fontId="1" fillId="0" borderId="0"/>
    <xf numFmtId="0" fontId="1" fillId="0" borderId="0"/>
    <xf numFmtId="0" fontId="3"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5" fillId="0" borderId="0"/>
    <xf numFmtId="3" fontId="6"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16" fillId="0" borderId="0" applyNumberFormat="0" applyFill="0" applyBorder="0" applyAlignment="0" applyProtection="0"/>
  </cellStyleXfs>
  <cellXfs count="375">
    <xf numFmtId="0" fontId="0" fillId="0" borderId="0" xfId="0"/>
    <xf numFmtId="0" fontId="3" fillId="0" borderId="0" xfId="0" applyFont="1" applyAlignment="1">
      <alignment vertical="center"/>
    </xf>
    <xf numFmtId="0" fontId="7" fillId="0" borderId="0" xfId="0" applyFont="1" applyAlignment="1">
      <alignment horizontal="center" vertical="center"/>
    </xf>
    <xf numFmtId="0" fontId="3" fillId="0" borderId="0" xfId="0" applyFont="1" applyAlignment="1" applyProtection="1">
      <alignment horizontal="left" vertical="center"/>
      <protection locked="0"/>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xf numFmtId="0" fontId="3" fillId="0" borderId="25" xfId="0" applyFont="1" applyBorder="1" applyAlignment="1">
      <alignment vertical="center"/>
    </xf>
    <xf numFmtId="0" fontId="3" fillId="0" borderId="1" xfId="0" applyFont="1" applyBorder="1" applyAlignment="1">
      <alignment horizontal="left" vertical="center"/>
    </xf>
    <xf numFmtId="0" fontId="3" fillId="0" borderId="0" xfId="0" applyFont="1" applyAlignment="1" applyProtection="1">
      <alignment horizontal="center" vertical="center"/>
      <protection locked="0"/>
    </xf>
    <xf numFmtId="1" fontId="3" fillId="0" borderId="0" xfId="0" applyNumberFormat="1" applyFont="1" applyAlignment="1">
      <alignment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7" fillId="0" borderId="0" xfId="0" applyFont="1" applyAlignment="1">
      <alignment vertical="center" wrapText="1"/>
    </xf>
    <xf numFmtId="0" fontId="3" fillId="0" borderId="7" xfId="0" applyFont="1" applyBorder="1" applyAlignment="1">
      <alignment vertical="center"/>
    </xf>
    <xf numFmtId="164" fontId="3" fillId="0" borderId="7" xfId="0" applyNumberFormat="1" applyFont="1" applyBorder="1" applyAlignment="1">
      <alignment vertical="center" shrinkToFit="1"/>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23" xfId="0" applyFont="1" applyBorder="1" applyAlignment="1">
      <alignment vertical="center"/>
    </xf>
    <xf numFmtId="0" fontId="7" fillId="0" borderId="0" xfId="0" applyFont="1" applyAlignment="1">
      <alignment horizontal="center" vertical="center" wrapText="1"/>
    </xf>
    <xf numFmtId="0" fontId="10" fillId="0" borderId="0" xfId="0" applyFont="1" applyAlignment="1">
      <alignment horizontal="center" vertical="center" wrapText="1"/>
    </xf>
    <xf numFmtId="164" fontId="3" fillId="0" borderId="26" xfId="0" applyNumberFormat="1" applyFont="1" applyBorder="1" applyAlignment="1">
      <alignment vertical="center" shrinkToFit="1"/>
    </xf>
    <xf numFmtId="164" fontId="3" fillId="0" borderId="25" xfId="0" applyNumberFormat="1" applyFont="1" applyBorder="1" applyAlignment="1">
      <alignment vertical="center" shrinkToFit="1"/>
    </xf>
    <xf numFmtId="0" fontId="11" fillId="0" borderId="0" xfId="0" applyFont="1" applyAlignment="1">
      <alignment horizontal="center" vertical="center" wrapText="1"/>
    </xf>
    <xf numFmtId="164" fontId="3" fillId="0" borderId="24" xfId="0" applyNumberFormat="1" applyFont="1" applyBorder="1" applyAlignment="1">
      <alignment vertical="center" shrinkToFit="1"/>
    </xf>
    <xf numFmtId="0" fontId="12" fillId="0" borderId="0" xfId="0" applyFont="1" applyAlignment="1">
      <alignment vertical="center" wrapText="1"/>
    </xf>
    <xf numFmtId="0" fontId="3" fillId="0" borderId="0" xfId="0" applyFont="1" applyAlignment="1">
      <alignment horizontal="left" vertical="center"/>
    </xf>
    <xf numFmtId="2" fontId="3" fillId="0" borderId="7" xfId="0" applyNumberFormat="1" applyFont="1" applyBorder="1" applyAlignment="1">
      <alignment vertical="center" shrinkToFit="1"/>
    </xf>
    <xf numFmtId="0" fontId="7" fillId="0" borderId="0" xfId="0" applyFont="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shrinkToFit="1"/>
    </xf>
    <xf numFmtId="1" fontId="3" fillId="0" borderId="7" xfId="0" applyNumberFormat="1" applyFont="1" applyBorder="1" applyAlignment="1">
      <alignment vertical="center"/>
    </xf>
    <xf numFmtId="164" fontId="3" fillId="0" borderId="7" xfId="0" applyNumberFormat="1" applyFont="1" applyBorder="1" applyAlignment="1">
      <alignment vertical="center"/>
    </xf>
    <xf numFmtId="0" fontId="3" fillId="0" borderId="0" xfId="0" applyFont="1" applyAlignment="1">
      <alignment vertical="center" shrinkToFit="1"/>
    </xf>
    <xf numFmtId="164" fontId="3" fillId="0" borderId="0" xfId="0" applyNumberFormat="1" applyFont="1" applyAlignment="1">
      <alignment vertical="center" shrinkToFit="1"/>
    </xf>
    <xf numFmtId="164" fontId="3" fillId="0" borderId="0" xfId="0" applyNumberFormat="1" applyFont="1" applyAlignment="1">
      <alignment vertical="center"/>
    </xf>
    <xf numFmtId="0" fontId="3" fillId="0" borderId="26" xfId="0" applyFont="1" applyBorder="1" applyAlignment="1">
      <alignment vertical="center" wrapText="1"/>
    </xf>
    <xf numFmtId="0" fontId="3" fillId="0" borderId="0" xfId="0" applyFont="1" applyAlignment="1">
      <alignment horizontal="right" vertical="center"/>
    </xf>
    <xf numFmtId="164" fontId="3" fillId="0" borderId="26" xfId="0" applyNumberFormat="1" applyFont="1" applyBorder="1" applyAlignment="1">
      <alignment horizontal="right" vertical="center" wrapText="1"/>
    </xf>
    <xf numFmtId="0" fontId="3" fillId="0" borderId="24" xfId="0" applyFont="1" applyBorder="1" applyAlignment="1">
      <alignment horizontal="left" vertical="center"/>
    </xf>
    <xf numFmtId="0" fontId="12" fillId="0" borderId="26" xfId="0" applyFont="1" applyBorder="1" applyAlignment="1">
      <alignment vertical="center" wrapText="1"/>
    </xf>
    <xf numFmtId="0" fontId="12" fillId="0" borderId="25" xfId="0" applyFont="1" applyBorder="1" applyAlignment="1">
      <alignment vertical="center" wrapText="1"/>
    </xf>
    <xf numFmtId="2" fontId="3" fillId="0" borderId="25" xfId="0" applyNumberFormat="1" applyFont="1" applyBorder="1" applyAlignment="1">
      <alignment vertical="center" shrinkToFit="1"/>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horizontal="right" vertical="center"/>
    </xf>
    <xf numFmtId="0" fontId="3" fillId="0" borderId="46"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26" xfId="0" applyFont="1" applyBorder="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vertical="center"/>
    </xf>
    <xf numFmtId="0" fontId="3" fillId="0" borderId="31"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7" fillId="0" borderId="0" xfId="0" applyFont="1" applyAlignment="1">
      <alignment horizontal="left" vertical="center"/>
    </xf>
    <xf numFmtId="164" fontId="3" fillId="0" borderId="24" xfId="0" applyNumberFormat="1" applyFont="1" applyBorder="1" applyAlignment="1">
      <alignment horizontal="center" vertical="center" shrinkToFit="1"/>
    </xf>
    <xf numFmtId="164" fontId="3" fillId="0" borderId="26" xfId="0" applyNumberFormat="1" applyFont="1" applyBorder="1" applyAlignment="1">
      <alignment horizontal="center" vertical="center" shrinkToFit="1"/>
    </xf>
    <xf numFmtId="0" fontId="3" fillId="0" borderId="0" xfId="0" applyFont="1" applyAlignment="1">
      <alignment horizontal="left" vertical="center" wrapText="1"/>
    </xf>
    <xf numFmtId="0" fontId="3" fillId="0" borderId="27" xfId="0" applyFont="1" applyBorder="1" applyAlignment="1">
      <alignment horizontal="center" vertical="center" shrinkToFit="1"/>
    </xf>
    <xf numFmtId="0" fontId="11" fillId="0" borderId="0" xfId="0" applyFont="1" applyAlignment="1">
      <alignment vertical="center"/>
    </xf>
    <xf numFmtId="0" fontId="7" fillId="0" borderId="46" xfId="0" applyFont="1" applyBorder="1" applyAlignment="1">
      <alignment vertical="center"/>
    </xf>
    <xf numFmtId="0" fontId="3" fillId="0" borderId="50" xfId="0" applyFont="1" applyBorder="1" applyAlignment="1">
      <alignment vertical="center"/>
    </xf>
    <xf numFmtId="0" fontId="3" fillId="3" borderId="72" xfId="0" applyFont="1" applyFill="1" applyBorder="1" applyAlignment="1">
      <alignment vertical="center"/>
    </xf>
    <xf numFmtId="0" fontId="3" fillId="3" borderId="73" xfId="0" applyFont="1" applyFill="1" applyBorder="1" applyAlignment="1">
      <alignment vertical="center"/>
    </xf>
    <xf numFmtId="0" fontId="3" fillId="3" borderId="74" xfId="0" applyFont="1" applyFill="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25" xfId="0" applyFont="1" applyBorder="1" applyAlignment="1">
      <alignment horizontal="right" vertical="center"/>
    </xf>
    <xf numFmtId="0" fontId="14" fillId="0" borderId="0" xfId="0" applyFont="1" applyAlignment="1">
      <alignment vertical="center"/>
    </xf>
    <xf numFmtId="0" fontId="14" fillId="0" borderId="50" xfId="0" applyFont="1" applyBorder="1" applyAlignment="1">
      <alignment vertical="center"/>
    </xf>
    <xf numFmtId="1" fontId="3" fillId="0" borderId="58" xfId="0" applyNumberFormat="1" applyFont="1" applyBorder="1" applyAlignment="1" applyProtection="1">
      <alignment vertical="center"/>
      <protection locked="0"/>
    </xf>
    <xf numFmtId="0" fontId="3" fillId="0" borderId="64" xfId="0" applyFont="1" applyBorder="1" applyAlignment="1">
      <alignment horizontal="right" vertical="center"/>
    </xf>
    <xf numFmtId="0" fontId="3" fillId="0" borderId="48" xfId="0" applyFont="1" applyBorder="1" applyAlignment="1">
      <alignment vertical="center"/>
    </xf>
    <xf numFmtId="0" fontId="3" fillId="0" borderId="49" xfId="0" applyFont="1" applyBorder="1" applyAlignment="1">
      <alignment horizontal="right" vertical="center"/>
    </xf>
    <xf numFmtId="0" fontId="3" fillId="0" borderId="40" xfId="0" applyFont="1" applyBorder="1" applyAlignment="1">
      <alignment vertical="center"/>
    </xf>
    <xf numFmtId="164" fontId="3" fillId="0" borderId="7" xfId="0" applyNumberFormat="1" applyFont="1" applyBorder="1" applyAlignment="1">
      <alignment horizontal="right" vertical="center" shrinkToFit="1"/>
    </xf>
    <xf numFmtId="0" fontId="3" fillId="0" borderId="63" xfId="0" applyFont="1" applyBorder="1" applyAlignment="1">
      <alignment horizontal="right" vertical="center"/>
    </xf>
    <xf numFmtId="164" fontId="3" fillId="0" borderId="75" xfId="0" applyNumberFormat="1" applyFont="1" applyBorder="1" applyAlignment="1" applyProtection="1">
      <alignment horizontal="center" vertical="center"/>
      <protection locked="0"/>
    </xf>
    <xf numFmtId="1" fontId="3" fillId="0" borderId="75" xfId="0" applyNumberFormat="1" applyFont="1" applyBorder="1" applyAlignment="1" applyProtection="1">
      <alignment horizontal="center" vertical="center"/>
      <protection locked="0"/>
    </xf>
    <xf numFmtId="164" fontId="3" fillId="0" borderId="76" xfId="0" applyNumberFormat="1" applyFont="1" applyBorder="1" applyAlignment="1" applyProtection="1">
      <alignment horizontal="center" vertical="center"/>
      <protection locked="0"/>
    </xf>
    <xf numFmtId="1" fontId="3" fillId="0" borderId="76" xfId="0" applyNumberFormat="1" applyFont="1" applyBorder="1" applyAlignment="1" applyProtection="1">
      <alignment horizontal="center" vertical="center"/>
      <protection locked="0"/>
    </xf>
    <xf numFmtId="0" fontId="3" fillId="0" borderId="48" xfId="0" applyFont="1" applyBorder="1" applyAlignment="1">
      <alignment horizontal="right" vertical="center"/>
    </xf>
    <xf numFmtId="164" fontId="3" fillId="0" borderId="58" xfId="0" applyNumberFormat="1" applyFont="1" applyBorder="1" applyAlignment="1">
      <alignment horizontal="right" vertical="center" shrinkToFit="1"/>
    </xf>
    <xf numFmtId="164" fontId="3" fillId="0" borderId="60" xfId="0" applyNumberFormat="1" applyFont="1" applyBorder="1" applyAlignment="1">
      <alignment horizontal="right" vertical="center" shrinkToFit="1"/>
    </xf>
    <xf numFmtId="0" fontId="3" fillId="0" borderId="70" xfId="0" applyFont="1" applyBorder="1" applyAlignment="1">
      <alignment vertical="center"/>
    </xf>
    <xf numFmtId="0" fontId="3" fillId="0" borderId="52" xfId="0" applyFont="1" applyBorder="1" applyAlignment="1">
      <alignment vertical="center"/>
    </xf>
    <xf numFmtId="0" fontId="3" fillId="0" borderId="71" xfId="0" applyFont="1" applyBorder="1" applyAlignment="1">
      <alignment vertical="center"/>
    </xf>
    <xf numFmtId="0" fontId="7" fillId="0" borderId="51" xfId="0" applyFont="1" applyBorder="1" applyAlignment="1">
      <alignment vertical="center"/>
    </xf>
    <xf numFmtId="164" fontId="3" fillId="6" borderId="7" xfId="0" applyNumberFormat="1" applyFont="1" applyFill="1" applyBorder="1" applyAlignment="1">
      <alignment vertical="center"/>
    </xf>
    <xf numFmtId="1" fontId="3" fillId="0" borderId="48" xfId="0" applyNumberFormat="1"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right" vertical="center"/>
    </xf>
    <xf numFmtId="2" fontId="3" fillId="0" borderId="0" xfId="0" applyNumberFormat="1" applyFont="1" applyAlignment="1">
      <alignment vertical="center"/>
    </xf>
    <xf numFmtId="0" fontId="3" fillId="0" borderId="28" xfId="0" applyFont="1" applyBorder="1" applyAlignment="1">
      <alignment vertical="center"/>
    </xf>
    <xf numFmtId="0" fontId="3" fillId="0" borderId="23" xfId="0" applyFont="1" applyBorder="1" applyAlignment="1">
      <alignment horizontal="right" vertical="center"/>
    </xf>
    <xf numFmtId="0" fontId="3" fillId="0" borderId="45" xfId="0" applyFont="1" applyBorder="1" applyAlignment="1">
      <alignment horizontal="right" vertical="center"/>
    </xf>
    <xf numFmtId="0" fontId="3" fillId="0" borderId="7" xfId="0" applyFont="1" applyBorder="1" applyAlignment="1">
      <alignment horizontal="left" vertical="center"/>
    </xf>
    <xf numFmtId="0" fontId="0" fillId="0" borderId="7" xfId="0" applyBorder="1" applyAlignment="1">
      <alignment horizontal="center" vertical="center" shrinkToFit="1"/>
    </xf>
    <xf numFmtId="164" fontId="0" fillId="0" borderId="7" xfId="0" applyNumberFormat="1" applyBorder="1" applyAlignment="1">
      <alignment horizontal="center" vertical="center" shrinkToFit="1"/>
    </xf>
    <xf numFmtId="0" fontId="0" fillId="0" borderId="50" xfId="0" applyBorder="1" applyAlignment="1">
      <alignment horizontal="center" vertical="center" shrinkToFit="1"/>
    </xf>
    <xf numFmtId="0" fontId="11" fillId="0" borderId="7" xfId="0" applyFont="1" applyBorder="1" applyAlignment="1">
      <alignment horizontal="right" vertical="center"/>
    </xf>
    <xf numFmtId="164" fontId="11" fillId="0" borderId="7" xfId="0" applyNumberFormat="1" applyFont="1" applyBorder="1" applyAlignment="1">
      <alignment horizontal="center" vertical="center"/>
    </xf>
    <xf numFmtId="0" fontId="3" fillId="0" borderId="7" xfId="0" applyFont="1" applyBorder="1" applyAlignment="1">
      <alignment horizontal="center" vertical="center" shrinkToFit="1"/>
    </xf>
    <xf numFmtId="0" fontId="3" fillId="0" borderId="0" xfId="0" applyFont="1" applyAlignment="1">
      <alignment horizontal="center" vertical="center" shrinkToFit="1"/>
    </xf>
    <xf numFmtId="0" fontId="3" fillId="0" borderId="50" xfId="0" applyFont="1" applyBorder="1" applyAlignment="1">
      <alignment vertical="center" shrinkToFit="1"/>
    </xf>
    <xf numFmtId="0" fontId="3" fillId="0" borderId="2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0" xfId="0" applyFont="1" applyBorder="1" applyAlignment="1">
      <alignment vertical="center" shrinkToFit="1"/>
    </xf>
    <xf numFmtId="0" fontId="3" fillId="0" borderId="6" xfId="0" applyFont="1" applyBorder="1" applyAlignment="1">
      <alignment vertical="center" shrinkToFit="1"/>
    </xf>
    <xf numFmtId="0" fontId="3" fillId="0" borderId="9" xfId="0" applyFont="1" applyBorder="1" applyAlignment="1">
      <alignment vertical="center" shrinkToFit="1"/>
    </xf>
    <xf numFmtId="0" fontId="0" fillId="0" borderId="7" xfId="0" applyBorder="1"/>
    <xf numFmtId="0" fontId="15" fillId="0" borderId="44" xfId="0" applyFont="1" applyBorder="1" applyAlignment="1">
      <alignment horizontal="right" vertical="center"/>
    </xf>
    <xf numFmtId="0" fontId="20" fillId="0" borderId="29" xfId="0" applyFont="1" applyBorder="1" applyAlignment="1">
      <alignment vertical="center" wrapText="1"/>
    </xf>
    <xf numFmtId="0" fontId="20" fillId="0" borderId="15" xfId="0" applyFont="1" applyBorder="1" applyAlignment="1">
      <alignment vertical="center" wrapText="1"/>
    </xf>
    <xf numFmtId="0" fontId="21" fillId="2" borderId="26" xfId="0" applyFont="1" applyFill="1" applyBorder="1" applyAlignment="1">
      <alignment vertical="center"/>
    </xf>
    <xf numFmtId="164" fontId="21" fillId="3" borderId="28" xfId="0" applyNumberFormat="1" applyFont="1" applyFill="1" applyBorder="1" applyAlignment="1" applyProtection="1">
      <alignment horizontal="right" vertical="center"/>
      <protection locked="0"/>
    </xf>
    <xf numFmtId="0" fontId="21" fillId="2" borderId="23" xfId="0" applyFont="1" applyFill="1" applyBorder="1" applyAlignment="1">
      <alignment vertical="center"/>
    </xf>
    <xf numFmtId="0" fontId="21" fillId="0" borderId="0" xfId="0" applyFont="1" applyAlignment="1">
      <alignment vertical="center"/>
    </xf>
    <xf numFmtId="0" fontId="21" fillId="5" borderId="28" xfId="0" applyFont="1" applyFill="1" applyBorder="1" applyAlignment="1">
      <alignment vertical="center"/>
    </xf>
    <xf numFmtId="0" fontId="21" fillId="5" borderId="27" xfId="0" applyFont="1" applyFill="1" applyBorder="1" applyAlignment="1">
      <alignment vertical="center"/>
    </xf>
    <xf numFmtId="0" fontId="21" fillId="0" borderId="38" xfId="0" applyFont="1" applyBorder="1" applyAlignment="1">
      <alignment vertical="center" shrinkToFit="1"/>
    </xf>
    <xf numFmtId="0" fontId="21" fillId="0" borderId="36" xfId="0" applyFont="1" applyBorder="1" applyAlignment="1">
      <alignment vertical="center"/>
    </xf>
    <xf numFmtId="0" fontId="21" fillId="0" borderId="65" xfId="0" applyFont="1" applyBorder="1" applyAlignment="1">
      <alignment vertical="center"/>
    </xf>
    <xf numFmtId="0" fontId="25" fillId="0" borderId="38" xfId="0" applyFont="1" applyBorder="1" applyAlignment="1">
      <alignment vertical="center" shrinkToFit="1"/>
    </xf>
    <xf numFmtId="0" fontId="21" fillId="0" borderId="35" xfId="0" applyFont="1" applyBorder="1" applyAlignment="1">
      <alignment vertical="center"/>
    </xf>
    <xf numFmtId="0" fontId="21" fillId="0" borderId="65" xfId="0" applyFont="1" applyBorder="1" applyAlignment="1">
      <alignment vertical="center" shrinkToFit="1"/>
    </xf>
    <xf numFmtId="0" fontId="21" fillId="0" borderId="77" xfId="0" applyFont="1" applyBorder="1" applyAlignment="1">
      <alignment vertical="center" shrinkToFit="1"/>
    </xf>
    <xf numFmtId="0" fontId="21" fillId="0" borderId="41" xfId="0" applyFont="1" applyBorder="1" applyAlignment="1">
      <alignment vertical="center" shrinkToFit="1"/>
    </xf>
    <xf numFmtId="0" fontId="3" fillId="0" borderId="39"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shrinkToFit="1"/>
      <protection locked="0"/>
    </xf>
    <xf numFmtId="0" fontId="3" fillId="0" borderId="0" xfId="0" applyFont="1" applyAlignment="1">
      <alignment horizontal="center" vertical="center"/>
    </xf>
    <xf numFmtId="1" fontId="3" fillId="0" borderId="47" xfId="0" applyNumberFormat="1" applyFont="1" applyBorder="1" applyAlignment="1" applyProtection="1">
      <alignment horizontal="center" vertical="center"/>
      <protection locked="0"/>
    </xf>
    <xf numFmtId="1" fontId="3" fillId="0" borderId="64" xfId="0" applyNumberFormat="1"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47" xfId="0" applyFont="1" applyBorder="1" applyAlignment="1" applyProtection="1">
      <alignment horizontal="left" vertical="center" shrinkToFit="1"/>
      <protection locked="0"/>
    </xf>
    <xf numFmtId="0" fontId="3" fillId="0" borderId="48" xfId="0" applyFont="1" applyBorder="1" applyAlignment="1" applyProtection="1">
      <alignment horizontal="left" vertical="center" shrinkToFit="1"/>
      <protection locked="0"/>
    </xf>
    <xf numFmtId="0" fontId="3" fillId="0" borderId="64" xfId="0" applyFont="1" applyBorder="1" applyAlignment="1" applyProtection="1">
      <alignment horizontal="left" vertical="center" shrinkToFit="1"/>
      <protection locked="0"/>
    </xf>
    <xf numFmtId="0" fontId="3" fillId="0" borderId="39" xfId="0" applyFont="1" applyBorder="1" applyAlignment="1">
      <alignment horizontal="left" vertical="center" shrinkToFit="1"/>
    </xf>
    <xf numFmtId="0" fontId="3" fillId="0" borderId="40" xfId="0" applyFont="1" applyBorder="1" applyAlignment="1">
      <alignment horizontal="left" vertical="center" shrinkToFit="1"/>
    </xf>
    <xf numFmtId="0" fontId="3" fillId="0" borderId="41" xfId="0" applyFont="1" applyBorder="1" applyAlignment="1">
      <alignment horizontal="left" vertical="center" shrinkToFit="1"/>
    </xf>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17" fillId="9" borderId="18" xfId="0" applyFont="1" applyFill="1" applyBorder="1" applyAlignment="1">
      <alignment horizontal="center" vertical="center"/>
    </xf>
    <xf numFmtId="0" fontId="21" fillId="0" borderId="53"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21" fillId="0" borderId="56"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21" fillId="5" borderId="68" xfId="0" applyFont="1" applyFill="1" applyBorder="1" applyAlignment="1">
      <alignment horizontal="left" vertical="center"/>
    </xf>
    <xf numFmtId="0" fontId="21" fillId="5" borderId="54" xfId="0" applyFont="1" applyFill="1" applyBorder="1" applyAlignment="1">
      <alignment horizontal="left" vertical="center"/>
    </xf>
    <xf numFmtId="0" fontId="21" fillId="5" borderId="55" xfId="0" applyFont="1" applyFill="1" applyBorder="1" applyAlignment="1">
      <alignment horizontal="left" vertical="center"/>
    </xf>
    <xf numFmtId="0" fontId="21" fillId="3" borderId="24" xfId="0" applyFont="1" applyFill="1" applyBorder="1" applyAlignment="1" applyProtection="1">
      <alignment horizontal="right" vertical="center"/>
      <protection locked="0"/>
    </xf>
    <xf numFmtId="0" fontId="21" fillId="3" borderId="26" xfId="0" applyFont="1" applyFill="1" applyBorder="1" applyAlignment="1" applyProtection="1">
      <alignment horizontal="right" vertical="center"/>
      <protection locked="0"/>
    </xf>
    <xf numFmtId="0" fontId="21" fillId="5" borderId="24" xfId="0" applyFont="1" applyFill="1" applyBorder="1" applyAlignment="1">
      <alignment horizontal="left" vertical="center"/>
    </xf>
    <xf numFmtId="0" fontId="21" fillId="5" borderId="26" xfId="0" applyFont="1" applyFill="1" applyBorder="1" applyAlignment="1">
      <alignment horizontal="left" vertical="center"/>
    </xf>
    <xf numFmtId="0" fontId="21" fillId="5" borderId="25" xfId="0" applyFont="1" applyFill="1" applyBorder="1" applyAlignment="1">
      <alignment horizontal="left" vertical="center"/>
    </xf>
    <xf numFmtId="0" fontId="21" fillId="3" borderId="24" xfId="0" applyFont="1" applyFill="1" applyBorder="1" applyAlignment="1" applyProtection="1">
      <alignment horizontal="left" vertical="center"/>
      <protection locked="0"/>
    </xf>
    <xf numFmtId="0" fontId="21" fillId="3" borderId="26" xfId="0" applyFont="1" applyFill="1" applyBorder="1" applyAlignment="1" applyProtection="1">
      <alignment horizontal="left" vertical="center"/>
      <protection locked="0"/>
    </xf>
    <xf numFmtId="0" fontId="21" fillId="3" borderId="25" xfId="0" applyFont="1" applyFill="1" applyBorder="1" applyAlignment="1" applyProtection="1">
      <alignment horizontal="left" vertical="center"/>
      <protection locked="0"/>
    </xf>
    <xf numFmtId="0" fontId="21" fillId="5" borderId="33" xfId="0" applyFont="1" applyFill="1" applyBorder="1" applyAlignment="1">
      <alignment horizontal="left" vertical="center"/>
    </xf>
    <xf numFmtId="0" fontId="21" fillId="2" borderId="26" xfId="0" applyFont="1" applyFill="1" applyBorder="1" applyAlignment="1">
      <alignment horizontal="center" vertical="center"/>
    </xf>
    <xf numFmtId="0" fontId="21" fillId="2" borderId="32" xfId="0" applyFont="1" applyFill="1" applyBorder="1" applyAlignment="1">
      <alignment horizontal="center" vertical="center"/>
    </xf>
    <xf numFmtId="0" fontId="21" fillId="5" borderId="53" xfId="0" applyFont="1" applyFill="1" applyBorder="1" applyAlignment="1">
      <alignment horizontal="left" vertical="center"/>
    </xf>
    <xf numFmtId="164" fontId="21" fillId="0" borderId="58" xfId="0" applyNumberFormat="1" applyFont="1" applyBorder="1" applyAlignment="1" applyProtection="1">
      <alignment horizontal="left" vertical="center" wrapText="1"/>
      <protection locked="0"/>
    </xf>
    <xf numFmtId="164" fontId="21" fillId="0" borderId="48" xfId="0" applyNumberFormat="1" applyFont="1" applyBorder="1" applyAlignment="1" applyProtection="1">
      <alignment horizontal="left" vertical="center" wrapText="1"/>
      <protection locked="0"/>
    </xf>
    <xf numFmtId="0" fontId="20" fillId="0" borderId="47" xfId="0" applyFont="1" applyBorder="1" applyAlignment="1">
      <alignment horizontal="left" vertical="center"/>
    </xf>
    <xf numFmtId="0" fontId="20" fillId="0" borderId="48" xfId="0" applyFont="1" applyBorder="1" applyAlignment="1">
      <alignment horizontal="left" vertical="center"/>
    </xf>
    <xf numFmtId="0" fontId="20" fillId="0" borderId="64" xfId="0" applyFont="1" applyBorder="1" applyAlignment="1">
      <alignment horizontal="left" vertical="center"/>
    </xf>
    <xf numFmtId="0" fontId="21" fillId="5" borderId="58" xfId="0" applyFont="1" applyFill="1" applyBorder="1" applyAlignment="1">
      <alignment horizontal="left" vertical="center"/>
    </xf>
    <xf numFmtId="0" fontId="21" fillId="5" borderId="48" xfId="0" applyFont="1" applyFill="1" applyBorder="1" applyAlignment="1">
      <alignment horizontal="left" vertical="center"/>
    </xf>
    <xf numFmtId="0" fontId="21" fillId="5" borderId="64" xfId="0" applyFont="1" applyFill="1" applyBorder="1" applyAlignment="1">
      <alignment horizontal="left" vertical="center"/>
    </xf>
    <xf numFmtId="0" fontId="17" fillId="9" borderId="16" xfId="0" applyFont="1" applyFill="1" applyBorder="1" applyAlignment="1">
      <alignment horizontal="right" vertical="center"/>
    </xf>
    <xf numFmtId="0" fontId="17" fillId="9" borderId="17" xfId="0" applyFont="1" applyFill="1" applyBorder="1" applyAlignment="1">
      <alignment horizontal="right" vertical="center"/>
    </xf>
    <xf numFmtId="0" fontId="20" fillId="4" borderId="42" xfId="0" applyFont="1" applyFill="1" applyBorder="1" applyAlignment="1">
      <alignment horizontal="left" vertical="center" wrapText="1"/>
    </xf>
    <xf numFmtId="0" fontId="20" fillId="4" borderId="27" xfId="0" applyFont="1" applyFill="1" applyBorder="1" applyAlignment="1">
      <alignment horizontal="left" vertical="center" wrapText="1"/>
    </xf>
    <xf numFmtId="0" fontId="20" fillId="4" borderId="61" xfId="0" applyFont="1" applyFill="1" applyBorder="1" applyAlignment="1">
      <alignment horizontal="left" vertical="center" wrapText="1"/>
    </xf>
    <xf numFmtId="0" fontId="20" fillId="4" borderId="43" xfId="0" applyFont="1" applyFill="1" applyBorder="1" applyAlignment="1">
      <alignment horizontal="left" vertical="center" wrapText="1"/>
    </xf>
    <xf numFmtId="0" fontId="20" fillId="4" borderId="44" xfId="0" applyFont="1" applyFill="1" applyBorder="1" applyAlignment="1">
      <alignment horizontal="left" vertical="center" wrapText="1"/>
    </xf>
    <xf numFmtId="0" fontId="20" fillId="4" borderId="66" xfId="0" applyFont="1" applyFill="1" applyBorder="1" applyAlignment="1">
      <alignment horizontal="left" vertical="center" wrapText="1"/>
    </xf>
    <xf numFmtId="0" fontId="19" fillId="0" borderId="68" xfId="0" applyFont="1" applyBorder="1" applyAlignment="1">
      <alignment horizontal="left" vertical="center" wrapText="1"/>
    </xf>
    <xf numFmtId="0" fontId="19" fillId="0" borderId="54" xfId="0" applyFont="1" applyBorder="1" applyAlignment="1">
      <alignment horizontal="left" vertical="center" wrapText="1"/>
    </xf>
    <xf numFmtId="0" fontId="19" fillId="0" borderId="56" xfId="0" applyFont="1" applyBorder="1" applyAlignment="1">
      <alignment horizontal="left" vertical="center" wrapText="1"/>
    </xf>
    <xf numFmtId="0" fontId="21" fillId="2" borderId="47" xfId="0" applyFont="1" applyFill="1" applyBorder="1" applyAlignment="1">
      <alignment horizontal="left" vertical="center"/>
    </xf>
    <xf numFmtId="0" fontId="21" fillId="2" borderId="48" xfId="0" applyFont="1" applyFill="1" applyBorder="1" applyAlignment="1">
      <alignment horizontal="left" vertical="center"/>
    </xf>
    <xf numFmtId="164" fontId="20" fillId="0" borderId="40" xfId="0" applyNumberFormat="1" applyFont="1" applyBorder="1" applyAlignment="1">
      <alignment horizontal="right" vertical="center"/>
    </xf>
    <xf numFmtId="0" fontId="21" fillId="2" borderId="39" xfId="0" applyFont="1" applyFill="1" applyBorder="1" applyAlignment="1">
      <alignment horizontal="left" vertical="center"/>
    </xf>
    <xf numFmtId="0" fontId="21" fillId="2" borderId="40" xfId="0" applyFont="1" applyFill="1" applyBorder="1" applyAlignment="1">
      <alignment horizontal="left" vertical="center"/>
    </xf>
    <xf numFmtId="0" fontId="20" fillId="2" borderId="40" xfId="0" applyFont="1" applyFill="1" applyBorder="1" applyAlignment="1">
      <alignment horizontal="left" vertical="center"/>
    </xf>
    <xf numFmtId="0" fontId="20" fillId="2" borderId="41" xfId="0" applyFont="1" applyFill="1" applyBorder="1" applyAlignment="1">
      <alignment horizontal="left" vertical="center"/>
    </xf>
    <xf numFmtId="0" fontId="20" fillId="2" borderId="48" xfId="0" applyFont="1" applyFill="1" applyBorder="1" applyAlignment="1">
      <alignment horizontal="left" vertical="center"/>
    </xf>
    <xf numFmtId="0" fontId="20" fillId="2" borderId="49" xfId="0" applyFont="1" applyFill="1" applyBorder="1" applyAlignment="1">
      <alignment horizontal="left" vertical="center"/>
    </xf>
    <xf numFmtId="164" fontId="21" fillId="0" borderId="48" xfId="0" applyNumberFormat="1" applyFont="1" applyBorder="1" applyAlignment="1">
      <alignment horizontal="right" vertical="center"/>
    </xf>
    <xf numFmtId="0" fontId="17" fillId="7" borderId="17" xfId="0" applyFont="1" applyFill="1" applyBorder="1" applyAlignment="1">
      <alignment horizontal="left" vertical="center"/>
    </xf>
    <xf numFmtId="0" fontId="17" fillId="7" borderId="18" xfId="0" applyFont="1" applyFill="1" applyBorder="1" applyAlignment="1">
      <alignment horizontal="left" vertical="center"/>
    </xf>
    <xf numFmtId="164" fontId="21" fillId="0" borderId="78" xfId="0" applyNumberFormat="1" applyFont="1" applyBorder="1" applyAlignment="1">
      <alignment horizontal="right" vertical="center"/>
    </xf>
    <xf numFmtId="164" fontId="21" fillId="0" borderId="40" xfId="0" applyNumberFormat="1" applyFont="1" applyBorder="1" applyAlignment="1">
      <alignment horizontal="right" vertical="center"/>
    </xf>
    <xf numFmtId="164" fontId="25" fillId="0" borderId="35" xfId="0" applyNumberFormat="1" applyFont="1" applyBorder="1" applyAlignment="1">
      <alignment horizontal="right" vertical="center"/>
    </xf>
    <xf numFmtId="164" fontId="21" fillId="0" borderId="35" xfId="0" applyNumberFormat="1" applyFont="1" applyBorder="1" applyAlignment="1">
      <alignment horizontal="right" vertical="center"/>
    </xf>
    <xf numFmtId="0" fontId="21" fillId="0" borderId="40" xfId="0" applyFont="1" applyBorder="1" applyAlignment="1">
      <alignment horizontal="right" vertical="center"/>
    </xf>
    <xf numFmtId="2" fontId="21" fillId="0" borderId="35" xfId="0" applyNumberFormat="1" applyFont="1" applyBorder="1" applyAlignment="1">
      <alignment horizontal="right" vertical="center"/>
    </xf>
    <xf numFmtId="0" fontId="21" fillId="0" borderId="60" xfId="0" applyFont="1" applyBorder="1" applyAlignment="1">
      <alignment horizontal="left" vertical="center"/>
    </xf>
    <xf numFmtId="0" fontId="21" fillId="0" borderId="40" xfId="0" applyFont="1" applyBorder="1" applyAlignment="1">
      <alignment horizontal="left" vertical="center"/>
    </xf>
    <xf numFmtId="0" fontId="25" fillId="0" borderId="59" xfId="0" applyFont="1" applyBorder="1" applyAlignment="1">
      <alignment horizontal="left" vertical="center"/>
    </xf>
    <xf numFmtId="0" fontId="25" fillId="0" borderId="35" xfId="0" applyFont="1" applyBorder="1" applyAlignment="1">
      <alignment horizontal="left" vertical="center"/>
    </xf>
    <xf numFmtId="0" fontId="20" fillId="0" borderId="37" xfId="0" applyFont="1" applyBorder="1" applyAlignment="1">
      <alignment horizontal="left" vertical="center"/>
    </xf>
    <xf numFmtId="0" fontId="20" fillId="0" borderId="35" xfId="0" applyFont="1" applyBorder="1" applyAlignment="1">
      <alignment horizontal="left" vertical="center"/>
    </xf>
    <xf numFmtId="0" fontId="20" fillId="0" borderId="78" xfId="0" applyFont="1" applyBorder="1" applyAlignment="1">
      <alignment horizontal="left" vertical="center"/>
    </xf>
    <xf numFmtId="0" fontId="20" fillId="0" borderId="40" xfId="0" applyFont="1" applyBorder="1" applyAlignment="1">
      <alignment horizontal="left" vertical="center"/>
    </xf>
    <xf numFmtId="1" fontId="21" fillId="0" borderId="35" xfId="0" applyNumberFormat="1" applyFont="1" applyBorder="1" applyAlignment="1">
      <alignment horizontal="right"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164" fontId="3" fillId="0" borderId="24" xfId="0" applyNumberFormat="1" applyFont="1" applyBorder="1" applyAlignment="1">
      <alignment horizontal="right" vertical="center"/>
    </xf>
    <xf numFmtId="164" fontId="3" fillId="0" borderId="25" xfId="0" applyNumberFormat="1" applyFont="1" applyBorder="1" applyAlignment="1">
      <alignment horizontal="right"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3" fillId="0" borderId="0" xfId="0" applyFont="1" applyAlignment="1">
      <alignment horizontal="left" vertical="center" wrapText="1"/>
    </xf>
    <xf numFmtId="0" fontId="2" fillId="8" borderId="24"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25" xfId="0" applyFont="1" applyFill="1" applyBorder="1" applyAlignment="1">
      <alignment horizontal="center" vertical="center"/>
    </xf>
    <xf numFmtId="164" fontId="3" fillId="0" borderId="24" xfId="0" applyNumberFormat="1" applyFont="1" applyBorder="1" applyAlignment="1">
      <alignment horizontal="center" vertical="center" wrapText="1"/>
    </xf>
    <xf numFmtId="164" fontId="3" fillId="0" borderId="26" xfId="0" applyNumberFormat="1" applyFont="1" applyBorder="1" applyAlignment="1">
      <alignment horizontal="center" vertical="center" wrapText="1"/>
    </xf>
    <xf numFmtId="164" fontId="3" fillId="0" borderId="25" xfId="0" applyNumberFormat="1" applyFont="1" applyBorder="1" applyAlignment="1">
      <alignment horizontal="center" vertical="center"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5" xfId="0" applyFont="1" applyBorder="1" applyAlignment="1">
      <alignment horizontal="left" vertical="center"/>
    </xf>
    <xf numFmtId="164" fontId="3" fillId="0" borderId="24" xfId="0" applyNumberFormat="1" applyFont="1" applyBorder="1" applyAlignment="1">
      <alignment horizontal="center" vertical="center"/>
    </xf>
    <xf numFmtId="164" fontId="3" fillId="0" borderId="26" xfId="0" applyNumberFormat="1" applyFont="1" applyBorder="1" applyAlignment="1">
      <alignment horizontal="center" vertical="center"/>
    </xf>
    <xf numFmtId="164" fontId="3" fillId="0" borderId="25" xfId="0" applyNumberFormat="1" applyFont="1" applyBorder="1" applyAlignment="1">
      <alignment horizontal="center" vertical="center"/>
    </xf>
    <xf numFmtId="164" fontId="3" fillId="0" borderId="24" xfId="0" applyNumberFormat="1" applyFont="1" applyBorder="1" applyAlignment="1">
      <alignment horizontal="right" vertical="center" wrapText="1"/>
    </xf>
    <xf numFmtId="164" fontId="3" fillId="0" borderId="25" xfId="0" applyNumberFormat="1" applyFont="1" applyBorder="1" applyAlignment="1">
      <alignment horizontal="right" vertical="center" wrapText="1"/>
    </xf>
    <xf numFmtId="0" fontId="7" fillId="0" borderId="7" xfId="0" applyFont="1" applyBorder="1" applyAlignment="1">
      <alignment horizontal="center" vertical="center"/>
    </xf>
    <xf numFmtId="1" fontId="3" fillId="0" borderId="24" xfId="0" applyNumberFormat="1" applyFont="1" applyBorder="1" applyAlignment="1">
      <alignment horizontal="center" vertical="center"/>
    </xf>
    <xf numFmtId="1" fontId="3" fillId="0" borderId="26" xfId="0" applyNumberFormat="1" applyFont="1" applyBorder="1" applyAlignment="1">
      <alignment horizontal="center" vertical="center"/>
    </xf>
    <xf numFmtId="1" fontId="3" fillId="0" borderId="25" xfId="0" applyNumberFormat="1" applyFont="1" applyBorder="1" applyAlignment="1">
      <alignment horizontal="center" vertical="center"/>
    </xf>
    <xf numFmtId="0" fontId="7" fillId="0" borderId="2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5" xfId="0" applyFont="1" applyBorder="1" applyAlignment="1">
      <alignment horizontal="center" vertical="center" shrinkToFit="1"/>
    </xf>
    <xf numFmtId="1" fontId="3" fillId="0" borderId="26" xfId="0" applyNumberFormat="1" applyFont="1" applyBorder="1" applyAlignment="1">
      <alignment horizontal="right" vertical="center"/>
    </xf>
    <xf numFmtId="164" fontId="3" fillId="0" borderId="26" xfId="0" applyNumberFormat="1" applyFont="1" applyBorder="1" applyAlignment="1">
      <alignment horizontal="right" vertical="center"/>
    </xf>
    <xf numFmtId="166" fontId="3" fillId="0" borderId="24" xfId="0" applyNumberFormat="1" applyFont="1" applyBorder="1" applyAlignment="1">
      <alignment horizontal="center" vertical="center"/>
    </xf>
    <xf numFmtId="166" fontId="3" fillId="0" borderId="26" xfId="0" applyNumberFormat="1" applyFont="1" applyBorder="1" applyAlignment="1">
      <alignment horizontal="center" vertical="center"/>
    </xf>
    <xf numFmtId="166" fontId="3" fillId="0" borderId="25" xfId="0" applyNumberFormat="1" applyFont="1" applyBorder="1" applyAlignment="1">
      <alignment horizontal="center" vertical="center"/>
    </xf>
    <xf numFmtId="164" fontId="3" fillId="0" borderId="24" xfId="0" applyNumberFormat="1" applyFont="1" applyBorder="1" applyAlignment="1">
      <alignment horizontal="left" vertical="center" shrinkToFit="1"/>
    </xf>
    <xf numFmtId="164" fontId="3" fillId="0" borderId="26" xfId="0" applyNumberFormat="1" applyFont="1" applyBorder="1" applyAlignment="1">
      <alignment horizontal="left" vertical="center" shrinkToFit="1"/>
    </xf>
    <xf numFmtId="0" fontId="7" fillId="8" borderId="57" xfId="0" applyFont="1" applyFill="1" applyBorder="1" applyAlignment="1">
      <alignment horizontal="center" vertical="center"/>
    </xf>
    <xf numFmtId="0" fontId="7" fillId="8" borderId="0" xfId="0" applyFont="1" applyFill="1" applyAlignment="1">
      <alignment horizontal="center" vertical="center"/>
    </xf>
    <xf numFmtId="1" fontId="3" fillId="0" borderId="24" xfId="0" applyNumberFormat="1" applyFont="1" applyBorder="1" applyAlignment="1">
      <alignment horizontal="right" vertical="center"/>
    </xf>
    <xf numFmtId="164" fontId="3" fillId="0" borderId="24" xfId="0" applyNumberFormat="1" applyFont="1" applyBorder="1" applyAlignment="1">
      <alignment horizontal="right" vertical="center" shrinkToFit="1"/>
    </xf>
    <xf numFmtId="164" fontId="3" fillId="0" borderId="26" xfId="0" applyNumberFormat="1" applyFont="1" applyBorder="1" applyAlignment="1">
      <alignment horizontal="right" vertical="center" shrinkToFit="1"/>
    </xf>
    <xf numFmtId="1" fontId="3" fillId="0" borderId="24" xfId="0" applyNumberFormat="1" applyFont="1" applyBorder="1" applyAlignment="1">
      <alignment horizontal="right" vertical="center" shrinkToFit="1"/>
    </xf>
    <xf numFmtId="1" fontId="3" fillId="0" borderId="26" xfId="0" applyNumberFormat="1" applyFont="1" applyBorder="1" applyAlignment="1">
      <alignment horizontal="right" vertical="center" shrinkToFit="1"/>
    </xf>
    <xf numFmtId="164" fontId="3" fillId="0" borderId="26" xfId="0" applyNumberFormat="1" applyFont="1" applyBorder="1" applyAlignment="1">
      <alignment vertical="center"/>
    </xf>
    <xf numFmtId="0" fontId="3" fillId="6" borderId="0" xfId="0" applyFont="1" applyFill="1" applyAlignment="1">
      <alignment horizontal="center" vertical="center"/>
    </xf>
    <xf numFmtId="0" fontId="21" fillId="3" borderId="24" xfId="0" applyFont="1" applyFill="1" applyBorder="1" applyAlignment="1">
      <alignment horizontal="left" vertical="center"/>
    </xf>
    <xf numFmtId="0" fontId="21" fillId="3" borderId="26" xfId="0" applyFont="1" applyFill="1" applyBorder="1" applyAlignment="1">
      <alignment horizontal="left" vertical="center"/>
    </xf>
    <xf numFmtId="0" fontId="21" fillId="3" borderId="25" xfId="0" applyFont="1" applyFill="1" applyBorder="1" applyAlignment="1">
      <alignment horizontal="left" vertical="center"/>
    </xf>
    <xf numFmtId="0" fontId="21" fillId="3" borderId="32" xfId="0" applyFont="1" applyFill="1" applyBorder="1" applyAlignment="1" applyProtection="1">
      <alignment horizontal="left" vertical="center"/>
      <protection locked="0"/>
    </xf>
    <xf numFmtId="0" fontId="21" fillId="0" borderId="26" xfId="0" applyFont="1" applyBorder="1" applyAlignment="1">
      <alignment horizontal="center" vertical="center"/>
    </xf>
    <xf numFmtId="0" fontId="21" fillId="0" borderId="32" xfId="0" applyFont="1" applyBorder="1" applyAlignment="1">
      <alignment horizontal="center" vertical="center"/>
    </xf>
    <xf numFmtId="164" fontId="20" fillId="0" borderId="48" xfId="0" applyNumberFormat="1" applyFont="1" applyBorder="1" applyAlignment="1">
      <alignment horizontal="right" vertical="center"/>
    </xf>
    <xf numFmtId="0" fontId="3" fillId="0" borderId="80" xfId="0" applyFont="1" applyBorder="1" applyAlignment="1" applyProtection="1">
      <alignment horizontal="left" vertical="center" shrinkToFit="1"/>
      <protection locked="0"/>
    </xf>
    <xf numFmtId="0" fontId="3" fillId="0" borderId="81" xfId="0" applyFont="1" applyBorder="1" applyAlignment="1" applyProtection="1">
      <alignment horizontal="left" vertical="center" shrinkToFit="1"/>
      <protection locked="0"/>
    </xf>
    <xf numFmtId="0" fontId="3" fillId="0" borderId="82" xfId="0" applyFont="1" applyBorder="1" applyAlignment="1" applyProtection="1">
      <alignment horizontal="left" vertical="center" shrinkToFit="1"/>
      <protection locked="0"/>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164" fontId="21" fillId="0" borderId="40" xfId="0" applyNumberFormat="1" applyFont="1" applyBorder="1" applyAlignment="1">
      <alignment horizontal="right" vertical="center" shrinkToFit="1"/>
    </xf>
    <xf numFmtId="0" fontId="26" fillId="0" borderId="59" xfId="0" applyFont="1" applyBorder="1" applyAlignment="1">
      <alignment horizontal="left" vertical="center"/>
    </xf>
    <xf numFmtId="0" fontId="26" fillId="0" borderId="35" xfId="0" applyFont="1" applyBorder="1" applyAlignment="1">
      <alignment horizontal="left" vertical="center"/>
    </xf>
    <xf numFmtId="1" fontId="21" fillId="0" borderId="40" xfId="0" applyNumberFormat="1" applyFont="1" applyBorder="1" applyAlignment="1">
      <alignment horizontal="right" vertical="center"/>
    </xf>
    <xf numFmtId="0" fontId="20" fillId="0" borderId="34" xfId="0" applyFont="1" applyBorder="1" applyAlignment="1">
      <alignment horizontal="left" vertical="center"/>
    </xf>
    <xf numFmtId="0" fontId="21" fillId="3" borderId="53" xfId="0" applyFont="1" applyFill="1" applyBorder="1" applyAlignment="1" applyProtection="1">
      <alignment horizontal="left" vertical="center" shrinkToFit="1"/>
      <protection locked="0"/>
    </xf>
    <xf numFmtId="0" fontId="21" fillId="3" borderId="54" xfId="0" applyFont="1" applyFill="1" applyBorder="1" applyAlignment="1" applyProtection="1">
      <alignment horizontal="left" vertical="center" shrinkToFit="1"/>
      <protection locked="0"/>
    </xf>
    <xf numFmtId="0" fontId="21" fillId="3" borderId="55" xfId="0" applyFont="1" applyFill="1" applyBorder="1" applyAlignment="1" applyProtection="1">
      <alignment horizontal="left" vertical="center" shrinkToFit="1"/>
      <protection locked="0"/>
    </xf>
    <xf numFmtId="0" fontId="21" fillId="0" borderId="53" xfId="0" applyFont="1" applyBorder="1" applyAlignment="1" applyProtection="1">
      <alignment horizontal="left" vertical="center" shrinkToFit="1"/>
      <protection locked="0"/>
    </xf>
    <xf numFmtId="0" fontId="21" fillId="0" borderId="54" xfId="0" applyFont="1" applyBorder="1" applyAlignment="1" applyProtection="1">
      <alignment horizontal="left" vertical="center" shrinkToFit="1"/>
      <protection locked="0"/>
    </xf>
    <xf numFmtId="0" fontId="21" fillId="0" borderId="55" xfId="0" applyFont="1" applyBorder="1" applyAlignment="1" applyProtection="1">
      <alignment horizontal="left" vertical="center" shrinkToFit="1"/>
      <protection locked="0"/>
    </xf>
    <xf numFmtId="0" fontId="21" fillId="3" borderId="24" xfId="0" applyFont="1" applyFill="1" applyBorder="1" applyAlignment="1" applyProtection="1">
      <alignment horizontal="left" vertical="center" shrinkToFit="1"/>
      <protection locked="0"/>
    </xf>
    <xf numFmtId="0" fontId="21" fillId="3" borderId="26" xfId="0" applyFont="1" applyFill="1" applyBorder="1" applyAlignment="1" applyProtection="1">
      <alignment horizontal="left" vertical="center" shrinkToFit="1"/>
      <protection locked="0"/>
    </xf>
    <xf numFmtId="0" fontId="21" fillId="3" borderId="25" xfId="0" applyFont="1" applyFill="1" applyBorder="1" applyAlignment="1" applyProtection="1">
      <alignment horizontal="left" vertical="center" shrinkToFit="1"/>
      <protection locked="0"/>
    </xf>
    <xf numFmtId="167" fontId="21" fillId="0" borderId="51" xfId="0" applyNumberFormat="1" applyFont="1" applyBorder="1" applyAlignment="1" applyProtection="1">
      <alignment horizontal="left" vertical="center" shrinkToFit="1"/>
      <protection locked="0"/>
    </xf>
    <xf numFmtId="167" fontId="21" fillId="0" borderId="67" xfId="0" applyNumberFormat="1" applyFont="1" applyBorder="1" applyAlignment="1" applyProtection="1">
      <alignment horizontal="left" vertical="center" shrinkToFit="1"/>
      <protection locked="0"/>
    </xf>
    <xf numFmtId="0" fontId="17" fillId="9" borderId="33" xfId="0" applyFont="1" applyFill="1" applyBorder="1" applyAlignment="1">
      <alignment horizontal="center" vertical="center"/>
    </xf>
    <xf numFmtId="0" fontId="17" fillId="9" borderId="26" xfId="0" applyFont="1" applyFill="1" applyBorder="1" applyAlignment="1">
      <alignment horizontal="center" vertical="center"/>
    </xf>
    <xf numFmtId="0" fontId="17" fillId="9" borderId="25" xfId="0" applyFont="1" applyFill="1" applyBorder="1" applyAlignment="1">
      <alignment horizontal="center" vertical="center"/>
    </xf>
    <xf numFmtId="0" fontId="17" fillId="9" borderId="24" xfId="0" applyFont="1" applyFill="1" applyBorder="1" applyAlignment="1">
      <alignment horizontal="center" vertical="center"/>
    </xf>
    <xf numFmtId="0" fontId="21" fillId="5" borderId="16" xfId="0" applyFont="1" applyFill="1" applyBorder="1" applyAlignment="1">
      <alignment horizontal="left" vertical="center"/>
    </xf>
    <xf numFmtId="0" fontId="21" fillId="5" borderId="17" xfId="0" applyFont="1" applyFill="1" applyBorder="1" applyAlignment="1">
      <alignment horizontal="left" vertical="center"/>
    </xf>
    <xf numFmtId="0" fontId="21" fillId="5" borderId="67" xfId="0" applyFont="1" applyFill="1" applyBorder="1" applyAlignment="1">
      <alignment horizontal="left" vertical="center"/>
    </xf>
    <xf numFmtId="0" fontId="21" fillId="5" borderId="51" xfId="0" applyFont="1" applyFill="1" applyBorder="1" applyAlignment="1">
      <alignment horizontal="left" vertical="center"/>
    </xf>
    <xf numFmtId="0" fontId="21" fillId="0" borderId="51" xfId="0" applyFont="1" applyBorder="1" applyAlignment="1" applyProtection="1">
      <alignment horizontal="left" vertical="center" shrinkToFit="1"/>
      <protection locked="0"/>
    </xf>
    <xf numFmtId="0" fontId="21" fillId="0" borderId="17" xfId="0" applyFont="1" applyBorder="1" applyAlignment="1" applyProtection="1">
      <alignment horizontal="left" vertical="center" shrinkToFit="1"/>
      <protection locked="0"/>
    </xf>
    <xf numFmtId="0" fontId="21" fillId="0" borderId="67" xfId="0" applyFont="1" applyBorder="1" applyAlignment="1" applyProtection="1">
      <alignment horizontal="left" vertical="center" shrinkToFit="1"/>
      <protection locked="0"/>
    </xf>
    <xf numFmtId="0" fontId="21" fillId="5" borderId="51" xfId="0" applyFont="1" applyFill="1" applyBorder="1" applyAlignment="1">
      <alignment vertical="center"/>
    </xf>
    <xf numFmtId="0" fontId="21" fillId="5" borderId="67" xfId="0" applyFont="1" applyFill="1" applyBorder="1" applyAlignment="1">
      <alignment vertical="center"/>
    </xf>
    <xf numFmtId="0" fontId="21" fillId="3" borderId="51" xfId="0" applyFont="1" applyFill="1" applyBorder="1" applyAlignment="1" applyProtection="1">
      <alignment horizontal="left" vertical="center" shrinkToFit="1"/>
      <protection locked="0"/>
    </xf>
    <xf numFmtId="0" fontId="21" fillId="3" borderId="17" xfId="0" applyFont="1" applyFill="1" applyBorder="1" applyAlignment="1" applyProtection="1">
      <alignment horizontal="left" vertical="center" shrinkToFit="1"/>
      <protection locked="0"/>
    </xf>
    <xf numFmtId="0" fontId="21" fillId="3" borderId="67" xfId="0" applyFont="1" applyFill="1" applyBorder="1" applyAlignment="1" applyProtection="1">
      <alignment horizontal="left" vertical="center" shrinkToFit="1"/>
      <protection locked="0"/>
    </xf>
    <xf numFmtId="168" fontId="21" fillId="3" borderId="53" xfId="0" applyNumberFormat="1" applyFont="1" applyFill="1" applyBorder="1" applyAlignment="1" applyProtection="1">
      <alignment horizontal="left" vertical="center" shrinkToFit="1"/>
      <protection locked="0"/>
    </xf>
    <xf numFmtId="168" fontId="21" fillId="3" borderId="54" xfId="0" applyNumberFormat="1" applyFont="1" applyFill="1" applyBorder="1" applyAlignment="1" applyProtection="1">
      <alignment horizontal="left" vertical="center" shrinkToFit="1"/>
      <protection locked="0"/>
    </xf>
    <xf numFmtId="168" fontId="21" fillId="3" borderId="55" xfId="0" applyNumberFormat="1" applyFont="1" applyFill="1" applyBorder="1" applyAlignment="1" applyProtection="1">
      <alignment horizontal="left" vertical="center" shrinkToFit="1"/>
      <protection locked="0"/>
    </xf>
    <xf numFmtId="0" fontId="22" fillId="0" borderId="53" xfId="12" applyFont="1" applyBorder="1" applyAlignment="1" applyProtection="1">
      <alignment horizontal="left" vertical="center" shrinkToFit="1"/>
      <protection locked="0"/>
    </xf>
    <xf numFmtId="0" fontId="22" fillId="0" borderId="54" xfId="12" applyFont="1" applyBorder="1" applyAlignment="1" applyProtection="1">
      <alignment horizontal="left" vertical="center" shrinkToFit="1"/>
      <protection locked="0"/>
    </xf>
    <xf numFmtId="0" fontId="22" fillId="0" borderId="55" xfId="12" applyFont="1" applyBorder="1" applyAlignment="1" applyProtection="1">
      <alignment horizontal="left" vertical="center" shrinkToFit="1"/>
      <protection locked="0"/>
    </xf>
    <xf numFmtId="164" fontId="3" fillId="0" borderId="24" xfId="0" applyNumberFormat="1" applyFont="1" applyBorder="1" applyAlignment="1">
      <alignment horizontal="center" vertical="center" shrinkToFit="1"/>
    </xf>
    <xf numFmtId="164" fontId="3" fillId="0" borderId="26" xfId="0" applyNumberFormat="1" applyFont="1" applyBorder="1" applyAlignment="1">
      <alignment horizontal="center" vertical="center" shrinkToFi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5" xfId="0" applyFont="1" applyFill="1" applyBorder="1" applyAlignment="1">
      <alignment horizontal="center" vertical="center"/>
    </xf>
    <xf numFmtId="0" fontId="3" fillId="0" borderId="52" xfId="0" applyFont="1" applyBorder="1" applyAlignment="1">
      <alignment horizontal="center" vertical="center"/>
    </xf>
    <xf numFmtId="0" fontId="3" fillId="0" borderId="50" xfId="0" applyFont="1" applyBorder="1" applyAlignment="1">
      <alignment horizontal="center" vertical="center"/>
    </xf>
    <xf numFmtId="0" fontId="3" fillId="0" borderId="69"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61" xfId="0" applyFont="1" applyBorder="1" applyAlignment="1">
      <alignment horizontal="center" vertical="center"/>
    </xf>
    <xf numFmtId="0" fontId="21" fillId="0" borderId="24" xfId="0" applyFont="1" applyBorder="1" applyAlignment="1" applyProtection="1">
      <alignment horizontal="left" vertical="center" shrinkToFit="1"/>
      <protection locked="0"/>
    </xf>
    <xf numFmtId="0" fontId="21" fillId="0" borderId="26" xfId="0" applyFont="1" applyBorder="1" applyAlignment="1" applyProtection="1">
      <alignment horizontal="left" vertical="center" shrinkToFit="1"/>
      <protection locked="0"/>
    </xf>
    <xf numFmtId="0" fontId="21" fillId="0" borderId="25" xfId="0" applyFont="1" applyBorder="1" applyAlignment="1" applyProtection="1">
      <alignment horizontal="left" vertical="center" shrinkToFit="1"/>
      <protection locked="0"/>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20" fillId="0" borderId="15" xfId="0" applyFont="1" applyBorder="1" applyAlignment="1">
      <alignment horizontal="center" wrapText="1"/>
    </xf>
    <xf numFmtId="0" fontId="21" fillId="0" borderId="15" xfId="0" applyFont="1" applyBorder="1" applyAlignment="1">
      <alignment horizontal="center" wrapText="1"/>
    </xf>
    <xf numFmtId="0" fontId="21" fillId="0" borderId="79" xfId="0" applyFont="1" applyBorder="1" applyAlignment="1">
      <alignment horizontal="center" wrapText="1"/>
    </xf>
    <xf numFmtId="0" fontId="17" fillId="9" borderId="16"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18" xfId="0" applyFont="1" applyFill="1" applyBorder="1" applyAlignment="1">
      <alignment horizontal="center" vertical="center" wrapText="1"/>
    </xf>
    <xf numFmtId="0" fontId="17" fillId="9" borderId="32" xfId="0" applyFont="1" applyFill="1" applyBorder="1" applyAlignment="1">
      <alignment horizontal="center" vertical="center"/>
    </xf>
    <xf numFmtId="0" fontId="20" fillId="0" borderId="3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0" xfId="0" applyFont="1" applyAlignment="1">
      <alignment horizontal="center" vertical="center" wrapText="1"/>
    </xf>
    <xf numFmtId="0" fontId="20" fillId="0" borderId="20"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1" fontId="3" fillId="0" borderId="80" xfId="0" applyNumberFormat="1" applyFont="1" applyBorder="1" applyAlignment="1" applyProtection="1">
      <alignment horizontal="center" vertical="center"/>
      <protection locked="0"/>
    </xf>
    <xf numFmtId="1" fontId="3" fillId="0" borderId="82" xfId="0" applyNumberFormat="1" applyFont="1" applyBorder="1" applyAlignment="1" applyProtection="1">
      <alignment horizontal="center" vertical="center"/>
      <protection locked="0"/>
    </xf>
    <xf numFmtId="0" fontId="3" fillId="0" borderId="83"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20" fillId="0" borderId="39" xfId="0" applyFont="1" applyBorder="1" applyAlignment="1">
      <alignment horizontal="left" vertical="center"/>
    </xf>
    <xf numFmtId="0" fontId="20" fillId="0" borderId="42" xfId="0" applyFont="1" applyBorder="1" applyAlignment="1">
      <alignment horizontal="left" vertical="top" wrapText="1"/>
    </xf>
    <xf numFmtId="0" fontId="20" fillId="0" borderId="27" xfId="0" applyFont="1" applyBorder="1" applyAlignment="1">
      <alignment horizontal="left" vertical="top" wrapText="1"/>
    </xf>
    <xf numFmtId="0" fontId="20" fillId="0" borderId="19" xfId="0" applyFont="1" applyBorder="1" applyAlignment="1">
      <alignment horizontal="left" vertical="top"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164" fontId="3" fillId="0" borderId="25" xfId="0" applyNumberFormat="1" applyFont="1" applyBorder="1" applyAlignment="1">
      <alignment horizontal="right"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18" fillId="0" borderId="27" xfId="0" applyFont="1" applyBorder="1" applyAlignment="1">
      <alignment horizontal="left" vertical="center" wrapText="1"/>
    </xf>
    <xf numFmtId="0" fontId="21" fillId="0" borderId="27" xfId="0" applyFont="1" applyBorder="1" applyAlignment="1">
      <alignment horizontal="left" vertical="center" wrapText="1"/>
    </xf>
    <xf numFmtId="0" fontId="21" fillId="0" borderId="61" xfId="0" applyFont="1" applyBorder="1" applyAlignment="1">
      <alignment horizontal="left" vertical="center" wrapText="1"/>
    </xf>
  </cellXfs>
  <cellStyles count="13">
    <cellStyle name="Hyperlink" xfId="12" builtinId="8"/>
    <cellStyle name="Komma0" xfId="9" xr:uid="{00000000-0005-0000-0000-000000000000}"/>
    <cellStyle name="Link 2" xfId="4" xr:uid="{00000000-0005-0000-0000-000001000000}"/>
    <cellStyle name="Normal" xfId="0" builtinId="0"/>
    <cellStyle name="Prozent 2" xfId="10" xr:uid="{00000000-0005-0000-0000-000002000000}"/>
    <cellStyle name="Standard 2" xfId="3" xr:uid="{00000000-0005-0000-0000-000004000000}"/>
    <cellStyle name="Standard 2 3" xfId="1" xr:uid="{00000000-0005-0000-0000-000005000000}"/>
    <cellStyle name="Standard 2 4" xfId="2" xr:uid="{00000000-0005-0000-0000-000006000000}"/>
    <cellStyle name="Standard 2 5" xfId="7" xr:uid="{00000000-0005-0000-0000-000007000000}"/>
    <cellStyle name="Standard 3" xfId="5" xr:uid="{00000000-0005-0000-0000-000008000000}"/>
    <cellStyle name="Standard 4" xfId="6" xr:uid="{00000000-0005-0000-0000-000009000000}"/>
    <cellStyle name="Standard 5" xfId="8" xr:uid="{00000000-0005-0000-0000-00000A000000}"/>
    <cellStyle name="Währung 2" xfId="11" xr:uid="{00000000-0005-0000-0000-00000B000000}"/>
  </cellStyles>
  <dxfs count="173">
    <dxf>
      <fill>
        <patternFill>
          <bgColor rgb="FFFFCCCC"/>
        </patternFill>
      </fill>
    </dxf>
    <dxf>
      <font>
        <color rgb="FF9C0006"/>
      </font>
      <fill>
        <patternFill>
          <bgColor rgb="FFFFC7CE"/>
        </patternFill>
      </fill>
    </dxf>
    <dxf>
      <fill>
        <patternFill>
          <bgColor rgb="FFFFCCCC"/>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C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theme="9" tint="0.79998168889431442"/>
        </patternFill>
      </fill>
    </dxf>
    <dxf>
      <fill>
        <patternFill>
          <bgColor rgb="FFFFCCCC"/>
        </patternFill>
      </fill>
    </dxf>
    <dxf>
      <fill>
        <patternFill>
          <bgColor rgb="FFFFC7CE"/>
        </patternFill>
      </fill>
    </dxf>
    <dxf>
      <font>
        <color rgb="FF9C0006"/>
      </font>
      <fill>
        <patternFill>
          <bgColor rgb="FFFFC7CE"/>
        </patternFill>
      </fill>
    </dxf>
    <dxf>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auto="1"/>
      </font>
      <fill>
        <patternFill>
          <bgColor rgb="FFFFC7CE"/>
        </patternFill>
      </fill>
    </dxf>
    <dxf>
      <font>
        <b/>
        <i val="0"/>
        <color auto="1"/>
      </font>
      <fill>
        <patternFill>
          <bgColor rgb="FFFFC7CE"/>
        </patternFill>
      </fill>
    </dxf>
    <dxf>
      <font>
        <b/>
        <i val="0"/>
        <color theme="8"/>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border diagonalUp="0" diagonalDown="0">
        <left/>
        <right style="thin">
          <color indexed="64"/>
        </right>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border diagonalUp="0" diagonalDown="0">
        <left/>
        <right style="thin">
          <color indexed="64"/>
        </right>
        <top/>
        <bottom style="thin">
          <color indexed="64"/>
        </bottom>
        <vertical/>
        <horizontal/>
      </border>
      <protection locked="1" hidden="0"/>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bottom style="thin">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alignment horizontal="lef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alignment horizontal="lef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alignment horizontal="lef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s>
  <tableStyles count="0" defaultTableStyle="TableStyleMedium2" defaultPivotStyle="PivotStyleLight16"/>
  <colors>
    <mruColors>
      <color rgb="FF3B99CC"/>
      <color rgb="FFFFCCCC"/>
      <color rgb="FFCCFFCC"/>
      <color rgb="FFFF9999"/>
      <color rgb="FFFFFFFF"/>
      <color rgb="FFFF7C80"/>
      <color rgb="FFFF5050"/>
      <color rgb="FFFFC7CE"/>
      <color rgb="FFFBFBFB"/>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258304</xdr:colOff>
      <xdr:row>0</xdr:row>
      <xdr:rowOff>172204</xdr:rowOff>
    </xdr:from>
    <xdr:to>
      <xdr:col>20</xdr:col>
      <xdr:colOff>60485</xdr:colOff>
      <xdr:row>4</xdr:row>
      <xdr:rowOff>108489</xdr:rowOff>
    </xdr:to>
    <xdr:pic>
      <xdr:nvPicPr>
        <xdr:cNvPr id="3" name="Picture 2">
          <a:extLst>
            <a:ext uri="{FF2B5EF4-FFF2-40B4-BE49-F238E27FC236}">
              <a16:creationId xmlns:a16="http://schemas.microsoft.com/office/drawing/2014/main" id="{EA759B44-5DC9-9B05-4D10-B8AE1FC798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9660" y="172204"/>
          <a:ext cx="4559300" cy="711200"/>
        </a:xfrm>
        <a:prstGeom prst="rect">
          <a:avLst/>
        </a:prstGeom>
      </xdr:spPr>
    </xdr:pic>
    <xdr:clientData/>
  </xdr:twoCellAnchor>
  <xdr:twoCellAnchor editAs="oneCell">
    <xdr:from>
      <xdr:col>10</xdr:col>
      <xdr:colOff>74661</xdr:colOff>
      <xdr:row>5</xdr:row>
      <xdr:rowOff>191780</xdr:rowOff>
    </xdr:from>
    <xdr:to>
      <xdr:col>18</xdr:col>
      <xdr:colOff>1</xdr:colOff>
      <xdr:row>8</xdr:row>
      <xdr:rowOff>107626</xdr:rowOff>
    </xdr:to>
    <xdr:pic>
      <xdr:nvPicPr>
        <xdr:cNvPr id="5" name="Picture 4">
          <a:extLst>
            <a:ext uri="{FF2B5EF4-FFF2-40B4-BE49-F238E27FC236}">
              <a16:creationId xmlns:a16="http://schemas.microsoft.com/office/drawing/2014/main" id="{EC1C36C8-91D5-8747-39BE-B4B90F0C9F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6356" y="1160424"/>
          <a:ext cx="3261781" cy="4970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Aluminiumfenster_Hueck" displayName="Aluminiumfenster_Hueck" ref="EV30:EV34" totalsRowShown="0" headerRowDxfId="172" dataDxfId="170" headerRowBorderDxfId="171" tableBorderDxfId="169">
  <autoFilter ref="EV30:EV34" xr:uid="{00000000-0009-0000-0100-000016000000}"/>
  <tableColumns count="1">
    <tableColumn id="1" xr3:uid="{00000000-0010-0000-0000-000001000000}" name="Aluminiumfenster_Hueck" dataDxfId="16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_18" displayName="_18" ref="EM30:EM48" totalsRowShown="0" headerRowDxfId="136" dataDxfId="134" headerRowBorderDxfId="135" tableBorderDxfId="133">
  <autoFilter ref="EM30:EM48" xr:uid="{00000000-0009-0000-0100-000012000000}"/>
  <tableColumns count="1">
    <tableColumn id="1" xr3:uid="{00000000-0010-0000-0900-000001000000}" name="_18" dataDxfId="13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_17" displayName="_17" ref="EL30:EL47" totalsRowShown="0" headerRowDxfId="131" dataDxfId="129" headerRowBorderDxfId="130" tableBorderDxfId="128">
  <autoFilter ref="EL30:EL47" xr:uid="{00000000-0009-0000-0100-000011000000}"/>
  <tableColumns count="1">
    <tableColumn id="1" xr3:uid="{00000000-0010-0000-0A00-000001000000}" name="_17" dataDxfId="127"/>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_16" displayName="_16" ref="EK30:EK46" totalsRowShown="0" headerRowDxfId="126" dataDxfId="124" headerRowBorderDxfId="125" tableBorderDxfId="123">
  <autoFilter ref="EK30:EK46" xr:uid="{00000000-0009-0000-0100-000010000000}"/>
  <tableColumns count="1">
    <tableColumn id="1" xr3:uid="{00000000-0010-0000-0B00-000001000000}" name="_16" dataDxfId="122"/>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5" displayName="_15" ref="EJ30:EJ45" totalsRowShown="0" headerRowDxfId="121" dataDxfId="119" headerRowBorderDxfId="120" tableBorderDxfId="118">
  <autoFilter ref="EJ30:EJ45" xr:uid="{00000000-0009-0000-0100-00000F000000}"/>
  <tableColumns count="1">
    <tableColumn id="1" xr3:uid="{00000000-0010-0000-0C00-000001000000}" name="_15" dataDxfId="117"/>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_14" displayName="_14" ref="EI30:EI44" totalsRowShown="0" headerRowDxfId="116" dataDxfId="114" headerRowBorderDxfId="115" tableBorderDxfId="113">
  <autoFilter ref="EI30:EI44" xr:uid="{00000000-0009-0000-0100-00000E000000}"/>
  <tableColumns count="1">
    <tableColumn id="1" xr3:uid="{00000000-0010-0000-0D00-000001000000}" name="_14" dataDxfId="112"/>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_13" displayName="_13" ref="EH30:EH43" totalsRowShown="0" headerRowDxfId="111" dataDxfId="109" headerRowBorderDxfId="110" tableBorderDxfId="108">
  <autoFilter ref="EH30:EH43" xr:uid="{00000000-0009-0000-0100-00000D000000}"/>
  <tableColumns count="1">
    <tableColumn id="1" xr3:uid="{00000000-0010-0000-0E00-000001000000}" name="_13" dataDxfId="107"/>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F000000}" name="_12" displayName="_12" ref="EG30:EG42" totalsRowShown="0" headerRowDxfId="106" dataDxfId="104" headerRowBorderDxfId="105" tableBorderDxfId="103">
  <autoFilter ref="EG30:EG42" xr:uid="{00000000-0009-0000-0100-00000C000000}"/>
  <tableColumns count="1">
    <tableColumn id="1" xr3:uid="{00000000-0010-0000-0F00-000001000000}" name="_12" dataDxfId="102"/>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_11" displayName="_11" ref="EF30:EF41" totalsRowShown="0" headerRowDxfId="101" dataDxfId="99" headerRowBorderDxfId="100" tableBorderDxfId="98">
  <autoFilter ref="EF30:EF41" xr:uid="{00000000-0009-0000-0100-00000B000000}"/>
  <tableColumns count="1">
    <tableColumn id="1" xr3:uid="{00000000-0010-0000-1000-000001000000}" name="_11" dataDxfId="97"/>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1000000}" name="_10" displayName="_10" ref="EE30:EE40" totalsRowShown="0" headerRowDxfId="96" dataDxfId="94" headerRowBorderDxfId="95" tableBorderDxfId="93">
  <autoFilter ref="EE30:EE40" xr:uid="{00000000-0009-0000-0100-00000A000000}"/>
  <tableColumns count="1">
    <tableColumn id="1" xr3:uid="{00000000-0010-0000-1100-000001000000}" name="_10" dataDxfId="92"/>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2000000}" name="_9" displayName="_9" ref="ED30:ED39" totalsRowShown="0" headerRowDxfId="91" dataDxfId="89" headerRowBorderDxfId="90" tableBorderDxfId="88">
  <autoFilter ref="ED30:ED39" xr:uid="{00000000-0009-0000-0100-000009000000}"/>
  <tableColumns count="1">
    <tableColumn id="1" xr3:uid="{00000000-0010-0000-1200-000001000000}" name="_9" dataDxfId="8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1000000}" name="Aluminiumfenster_Schüco" displayName="Aluminiumfenster_Schüco" ref="EW30:EW34" totalsRowShown="0" headerRowDxfId="167" dataDxfId="165" headerRowBorderDxfId="166" tableBorderDxfId="164">
  <autoFilter ref="EW30:EW34" xr:uid="{00000000-0009-0000-0100-000017000000}"/>
  <tableColumns count="1">
    <tableColumn id="1" xr3:uid="{00000000-0010-0000-0100-000001000000}" name="Aluminiumfenster_Schüco" dataDxfId="163"/>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3000000}" name="_8" displayName="_8" ref="EC30:EC38" totalsRowShown="0" headerRowDxfId="86" dataDxfId="84" headerRowBorderDxfId="85" tableBorderDxfId="83">
  <autoFilter ref="EC30:EC38" xr:uid="{00000000-0009-0000-0100-000008000000}"/>
  <tableColumns count="1">
    <tableColumn id="1" xr3:uid="{00000000-0010-0000-1300-000001000000}" name="_8" dataDxfId="82"/>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4000000}" name="_7" displayName="_7" ref="EB30:EB37" totalsRowShown="0" headerRowDxfId="81" dataDxfId="79" headerRowBorderDxfId="80" tableBorderDxfId="78">
  <autoFilter ref="EB30:EB37" xr:uid="{00000000-0009-0000-0100-000007000000}"/>
  <tableColumns count="1">
    <tableColumn id="1" xr3:uid="{00000000-0010-0000-1400-000001000000}" name="_7" dataDxfId="77"/>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5000000}" name="_6" displayName="_6" ref="EA30:EA36" totalsRowShown="0" headerRowDxfId="76" dataDxfId="74" headerRowBorderDxfId="75" tableBorderDxfId="73">
  <autoFilter ref="EA30:EA36" xr:uid="{00000000-0009-0000-0100-000006000000}"/>
  <tableColumns count="1">
    <tableColumn id="1" xr3:uid="{00000000-0010-0000-1500-000001000000}" name="_6" dataDxfId="72"/>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6000000}" name="_5" displayName="_5" ref="DZ30:DZ35" totalsRowShown="0" headerRowDxfId="71" dataDxfId="69" headerRowBorderDxfId="70" tableBorderDxfId="68">
  <autoFilter ref="DZ30:DZ35" xr:uid="{00000000-0009-0000-0100-000005000000}"/>
  <tableColumns count="1">
    <tableColumn id="1" xr3:uid="{00000000-0010-0000-1600-000001000000}" name="_5" dataDxfId="67"/>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7000000}" name="_4" displayName="_4" ref="DY30:DY34" totalsRowShown="0" headerRowDxfId="66" dataDxfId="64" headerRowBorderDxfId="65" tableBorderDxfId="63">
  <autoFilter ref="DY30:DY34" xr:uid="{00000000-0009-0000-0100-000004000000}"/>
  <tableColumns count="1">
    <tableColumn id="1" xr3:uid="{00000000-0010-0000-1700-000001000000}" name="_4" dataDxfId="62"/>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8000000}" name="_3" displayName="_3" ref="DX30:DX33" totalsRowShown="0" headerRowDxfId="61" dataDxfId="59" headerRowBorderDxfId="60" tableBorderDxfId="58">
  <autoFilter ref="DX30:DX33" xr:uid="{00000000-0009-0000-0100-000003000000}"/>
  <tableColumns count="1">
    <tableColumn id="1" xr3:uid="{00000000-0010-0000-1800-000001000000}" name="_3" dataDxfId="57"/>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9000000}" name="_2" displayName="_2" ref="DW30:DW32" totalsRowShown="0" headerRowDxfId="56" dataDxfId="54" headerRowBorderDxfId="55" tableBorderDxfId="53">
  <autoFilter ref="DW30:DW32" xr:uid="{00000000-0009-0000-0100-000002000000}"/>
  <tableColumns count="1">
    <tableColumn id="1" xr3:uid="{00000000-0010-0000-1900-000001000000}" name="_2" dataDxfId="52"/>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A000000}" name="_1" displayName="_1" ref="DV30:DV31" totalsRowShown="0" headerRowDxfId="51" dataDxfId="49" headerRowBorderDxfId="50" tableBorderDxfId="48">
  <autoFilter ref="DV30:DV31" xr:uid="{00000000-0009-0000-0100-000001000000}"/>
  <tableColumns count="1">
    <tableColumn id="1" xr3:uid="{00000000-0010-0000-1A00-000001000000}" name="_1" dataDxfId="4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Aluminiumfenster_Heroal" displayName="Aluminiumfenster_Heroal" ref="EU30:EU34" totalsRowShown="0" headerRowDxfId="162" dataDxfId="160" headerRowBorderDxfId="161" tableBorderDxfId="159">
  <autoFilter ref="EU30:EU34" xr:uid="{00000000-0009-0000-0100-000015000000}"/>
  <tableColumns count="1">
    <tableColumn id="1" xr3:uid="{00000000-0010-0000-0200-000001000000}" name="Aluminiumfenster_Heroal" dataDxfId="15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3000000}" name="Aluminiumfenster" displayName="Aluminiumfenster" ref="ET30:ET32" totalsRowShown="0" headerRowDxfId="157" headerRowBorderDxfId="156" tableBorderDxfId="155">
  <autoFilter ref="ET30:ET32" xr:uid="{00000000-0009-0000-0100-00002C000000}"/>
  <tableColumns count="1">
    <tableColumn id="1" xr3:uid="{00000000-0010-0000-0300-000001000000}" name="Aluminiumfenster" dataDxfId="15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Holzfenster" displayName="Holzfenster" ref="ES30:ES39" totalsRowShown="0" headerRowDxfId="153" dataDxfId="152" tableBorderDxfId="151">
  <autoFilter ref="ES30:ES39" xr:uid="{00000000-0009-0000-0100-00002B000000}"/>
  <tableColumns count="1">
    <tableColumn id="1" xr3:uid="{00000000-0010-0000-0400-000001000000}" name="Holzfenster" dataDxfId="150"/>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5000000}" name="Kunststofffenster_mit_Mitteldichtung" displayName="Kunststofffenster_mit_Mitteldichtung" ref="ER30:ER46" totalsRowShown="0">
  <autoFilter ref="ER30:ER46" xr:uid="{00000000-0009-0000-0100-00002A000000}"/>
  <tableColumns count="1">
    <tableColumn id="1" xr3:uid="{00000000-0010-0000-0500-000001000000}" name="Kunststofffenster_mit_Mitteldichtung" dataDxfId="149"/>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6000000}" name="Kunststofffenster_mit_Anschlagdichtung" displayName="Kunststofffenster_mit_Anschlagdichtung" ref="EQ30:EQ46" totalsRowShown="0" headerRowDxfId="148">
  <autoFilter ref="EQ30:EQ46" xr:uid="{00000000-0009-0000-0100-000029000000}"/>
  <tableColumns count="1">
    <tableColumn id="1" xr3:uid="{00000000-0010-0000-0600-000001000000}" name="Kunststofffenster_mit_Anschlagdichtung" dataDxfId="147"/>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7000000}" name="_20" displayName="_20" ref="EO30:EO50" totalsRowShown="0" headerRowDxfId="146" dataDxfId="144" headerRowBorderDxfId="145" tableBorderDxfId="143">
  <autoFilter ref="EO30:EO50" xr:uid="{00000000-0009-0000-0100-000014000000}"/>
  <tableColumns count="1">
    <tableColumn id="1" xr3:uid="{00000000-0010-0000-0700-000001000000}" name="_20" dataDxfId="14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_19" displayName="_19" ref="EN30:EN49" totalsRowShown="0" headerRowDxfId="141" dataDxfId="139" headerRowBorderDxfId="140" tableBorderDxfId="138">
  <autoFilter ref="EN30:EN49" xr:uid="{00000000-0009-0000-0100-000013000000}"/>
  <tableColumns count="1">
    <tableColumn id="1" xr3:uid="{00000000-0010-0000-0800-000001000000}" name="_19" dataDxfId="13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26" Type="http://schemas.openxmlformats.org/officeDocument/2006/relationships/table" Target="../tables/table23.xml"/><Relationship Id="rId3" Type="http://schemas.openxmlformats.org/officeDocument/2006/relationships/drawing" Target="../drawings/drawing1.xml"/><Relationship Id="rId21" Type="http://schemas.openxmlformats.org/officeDocument/2006/relationships/table" Target="../tables/table18.x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2" Type="http://schemas.openxmlformats.org/officeDocument/2006/relationships/printerSettings" Target="../printerSettings/printerSettings1.bin"/><Relationship Id="rId16" Type="http://schemas.openxmlformats.org/officeDocument/2006/relationships/table" Target="../tables/table13.xml"/><Relationship Id="rId20" Type="http://schemas.openxmlformats.org/officeDocument/2006/relationships/table" Target="../tables/table17.xml"/><Relationship Id="rId29" Type="http://schemas.openxmlformats.org/officeDocument/2006/relationships/table" Target="../tables/table26.xml"/><Relationship Id="rId1" Type="http://schemas.openxmlformats.org/officeDocument/2006/relationships/hyperlink" Target="mailto:info@ambientika.eu" TargetMode="External"/><Relationship Id="rId6" Type="http://schemas.openxmlformats.org/officeDocument/2006/relationships/table" Target="../tables/table3.xml"/><Relationship Id="rId11" Type="http://schemas.openxmlformats.org/officeDocument/2006/relationships/table" Target="../tables/table8.xml"/><Relationship Id="rId24" Type="http://schemas.openxmlformats.org/officeDocument/2006/relationships/table" Target="../tables/table21.xml"/><Relationship Id="rId5" Type="http://schemas.openxmlformats.org/officeDocument/2006/relationships/table" Target="../tables/table2.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10" Type="http://schemas.openxmlformats.org/officeDocument/2006/relationships/table" Target="../tables/table7.xml"/><Relationship Id="rId19" Type="http://schemas.openxmlformats.org/officeDocument/2006/relationships/table" Target="../tables/table16.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FG379"/>
  <sheetViews>
    <sheetView showZeros="0" tabSelected="1" zoomScale="118" zoomScaleNormal="118" zoomScaleSheetLayoutView="96" zoomScalePageLayoutView="154" workbookViewId="0">
      <selection activeCell="V23" sqref="V23:AC23"/>
    </sheetView>
  </sheetViews>
  <sheetFormatPr baseColWidth="10" defaultColWidth="3.6640625" defaultRowHeight="15" customHeight="1" x14ac:dyDescent="0.2"/>
  <cols>
    <col min="1" max="3" width="4.6640625" style="1" customWidth="1"/>
    <col min="4" max="4" width="10" style="1" customWidth="1"/>
    <col min="5" max="15" width="4.6640625" style="1" customWidth="1"/>
    <col min="16" max="16" width="11.1640625" style="1" customWidth="1"/>
    <col min="17" max="20" width="4.6640625" style="1" customWidth="1"/>
    <col min="21" max="21" width="14" style="1" customWidth="1"/>
    <col min="22" max="29" width="4.6640625" style="1" customWidth="1"/>
    <col min="30" max="78" width="4.6640625" style="1" hidden="1" customWidth="1"/>
    <col min="79" max="104" width="3.6640625" style="1" hidden="1" customWidth="1"/>
    <col min="105" max="105" width="16" style="1" hidden="1" customWidth="1"/>
    <col min="106" max="119" width="6.6640625" style="1" hidden="1" customWidth="1"/>
    <col min="120" max="146" width="3.6640625" style="1" hidden="1" customWidth="1"/>
    <col min="147" max="147" width="34.83203125" style="1" hidden="1" customWidth="1"/>
    <col min="148" max="148" width="31.5" style="1" hidden="1" customWidth="1"/>
    <col min="149" max="149" width="12" style="1" hidden="1" customWidth="1"/>
    <col min="150" max="150" width="17" style="1" hidden="1" customWidth="1"/>
    <col min="151" max="151" width="25.6640625" style="1" hidden="1" customWidth="1"/>
    <col min="152" max="153" width="33.33203125" style="1" hidden="1" customWidth="1"/>
    <col min="154" max="160" width="3.6640625" style="1" hidden="1" customWidth="1"/>
    <col min="161" max="161" width="29" style="1" hidden="1" customWidth="1"/>
    <col min="162" max="163" width="3.6640625" style="1" hidden="1" customWidth="1"/>
    <col min="164" max="189" width="3.6640625" style="1" customWidth="1"/>
    <col min="190" max="16384" width="3.6640625" style="1"/>
  </cols>
  <sheetData>
    <row r="1" spans="1:163" ht="15" customHeight="1" x14ac:dyDescent="0.2">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row>
    <row r="2" spans="1:163" ht="15"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row>
    <row r="3" spans="1:163" ht="15" customHeight="1" x14ac:dyDescent="0.2">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row>
    <row r="4" spans="1:163" ht="15" customHeight="1"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row>
    <row r="5" spans="1:163" ht="15"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row>
    <row r="6" spans="1:163" ht="15" customHeight="1" x14ac:dyDescent="0.2">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row>
    <row r="7" spans="1:163" ht="15" customHeight="1" x14ac:dyDescent="0.2">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row>
    <row r="8" spans="1:163" ht="15" customHeight="1" x14ac:dyDescent="0.2">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row>
    <row r="9" spans="1:163" ht="15" customHeight="1" x14ac:dyDescent="0.2">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0" spans="1:163" ht="15" customHeight="1" thickBot="1" x14ac:dyDescent="0.25">
      <c r="A10" s="139"/>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CZ10" s="328" t="s">
        <v>419</v>
      </c>
      <c r="DA10" s="328" t="s">
        <v>420</v>
      </c>
      <c r="DB10" s="328" t="s">
        <v>427</v>
      </c>
      <c r="DC10" s="328" t="s">
        <v>424</v>
      </c>
      <c r="DD10" s="328" t="s">
        <v>421</v>
      </c>
      <c r="DE10" s="328" t="s">
        <v>563</v>
      </c>
      <c r="DF10" s="337" t="s">
        <v>422</v>
      </c>
      <c r="DG10" s="337" t="s">
        <v>423</v>
      </c>
      <c r="DH10" s="328" t="s">
        <v>424</v>
      </c>
      <c r="DI10" s="328" t="s">
        <v>558</v>
      </c>
      <c r="DJ10" s="328" t="s">
        <v>514</v>
      </c>
      <c r="DK10" s="328" t="s">
        <v>515</v>
      </c>
      <c r="DL10" s="328" t="s">
        <v>516</v>
      </c>
      <c r="DM10" s="328" t="s">
        <v>517</v>
      </c>
      <c r="DN10" s="328" t="s">
        <v>518</v>
      </c>
      <c r="DO10" s="328" t="s">
        <v>519</v>
      </c>
      <c r="DU10" s="30" t="s">
        <v>503</v>
      </c>
      <c r="FD10" s="16">
        <v>1</v>
      </c>
      <c r="FE10" s="32">
        <f t="shared" ref="FE10:FE35" si="0">R46</f>
        <v>0</v>
      </c>
      <c r="FF10" s="16">
        <v>1</v>
      </c>
      <c r="FG10" s="118">
        <f t="shared" ref="FG10:FG39" si="1">IF(ROW(FE10)&gt;MAX(FF:FF),0,INDEX(FE:FE,MATCH(ROW(FE10),FF:FF,0)))</f>
        <v>0</v>
      </c>
    </row>
    <row r="11" spans="1:163" ht="15" customHeight="1" thickBot="1" x14ac:dyDescent="0.25">
      <c r="B11" s="120"/>
      <c r="C11" s="121"/>
      <c r="D11" s="121"/>
      <c r="E11" s="121"/>
      <c r="F11" s="121"/>
      <c r="G11" s="121"/>
      <c r="H11" s="121"/>
      <c r="I11" s="121"/>
      <c r="J11" s="121"/>
      <c r="K11" s="339" t="s">
        <v>687</v>
      </c>
      <c r="L11" s="339"/>
      <c r="M11" s="339"/>
      <c r="N11" s="339"/>
      <c r="O11" s="339"/>
      <c r="P11" s="339"/>
      <c r="Q11" s="339"/>
      <c r="R11" s="339"/>
      <c r="S11" s="339"/>
      <c r="T11" s="339"/>
      <c r="U11" s="121"/>
      <c r="V11" s="121"/>
      <c r="W11" s="340"/>
      <c r="X11" s="340"/>
      <c r="Y11" s="341"/>
      <c r="Z11" s="346"/>
      <c r="AA11" s="347"/>
      <c r="AB11" s="347"/>
      <c r="AC11" s="348"/>
      <c r="AF11" s="227" t="s">
        <v>8</v>
      </c>
      <c r="AG11" s="228"/>
      <c r="AH11" s="228"/>
      <c r="AI11" s="228"/>
      <c r="AJ11" s="228"/>
      <c r="AK11" s="228"/>
      <c r="AL11" s="228"/>
      <c r="AM11" s="228"/>
      <c r="AN11" s="228"/>
      <c r="AO11" s="229"/>
      <c r="AP11" s="2"/>
      <c r="AQ11" s="2"/>
      <c r="AR11" s="227" t="s">
        <v>61</v>
      </c>
      <c r="AS11" s="228"/>
      <c r="AT11" s="228"/>
      <c r="AU11" s="228"/>
      <c r="AV11" s="228"/>
      <c r="AW11" s="228"/>
      <c r="AX11" s="228"/>
      <c r="AY11" s="228"/>
      <c r="AZ11" s="228"/>
      <c r="BA11" s="229"/>
      <c r="BD11" s="227" t="s">
        <v>544</v>
      </c>
      <c r="BE11" s="228"/>
      <c r="BF11" s="228"/>
      <c r="BG11" s="228"/>
      <c r="BH11" s="228"/>
      <c r="BI11" s="228"/>
      <c r="BJ11" s="228"/>
      <c r="BK11" s="228"/>
      <c r="BL11" s="228"/>
      <c r="BM11" s="229"/>
      <c r="BP11" s="227" t="s">
        <v>409</v>
      </c>
      <c r="BQ11" s="228"/>
      <c r="BR11" s="228"/>
      <c r="BS11" s="228"/>
      <c r="BT11" s="228"/>
      <c r="BU11" s="228"/>
      <c r="BV11" s="228"/>
      <c r="BW11" s="228"/>
      <c r="BX11" s="228"/>
      <c r="BY11" s="229"/>
      <c r="CB11" s="331" t="s">
        <v>502</v>
      </c>
      <c r="CC11" s="332"/>
      <c r="CD11" s="332"/>
      <c r="CE11" s="332"/>
      <c r="CF11" s="332"/>
      <c r="CG11" s="332"/>
      <c r="CH11" s="332"/>
      <c r="CI11" s="332"/>
      <c r="CJ11" s="332"/>
      <c r="CK11" s="332"/>
      <c r="CL11" s="332"/>
      <c r="CM11" s="332"/>
      <c r="CN11" s="332"/>
      <c r="CO11" s="332"/>
      <c r="CP11" s="332"/>
      <c r="CQ11" s="333"/>
      <c r="CR11" s="71"/>
      <c r="CS11" s="72"/>
      <c r="CT11" s="72"/>
      <c r="CU11" s="93"/>
      <c r="CV11" s="55"/>
      <c r="CZ11" s="330"/>
      <c r="DA11" s="330"/>
      <c r="DB11" s="330"/>
      <c r="DC11" s="330"/>
      <c r="DD11" s="330"/>
      <c r="DE11" s="330"/>
      <c r="DF11" s="338"/>
      <c r="DG11" s="338"/>
      <c r="DH11" s="329"/>
      <c r="DI11" s="329"/>
      <c r="DJ11" s="329"/>
      <c r="DK11" s="329"/>
      <c r="DL11" s="329"/>
      <c r="DM11" s="329"/>
      <c r="DN11" s="329"/>
      <c r="DO11" s="329"/>
      <c r="DP11" s="13"/>
      <c r="DT11" s="39" t="s">
        <v>618</v>
      </c>
      <c r="DU11" s="1" t="s">
        <v>566</v>
      </c>
      <c r="FD11" s="16">
        <v>2</v>
      </c>
      <c r="FE11" s="32">
        <f t="shared" si="0"/>
        <v>0</v>
      </c>
      <c r="FF11" s="16">
        <f>(COUNTIF(FE$10:$FE11,FE11)=1)+MAX(FF$10:FF10)</f>
        <v>1</v>
      </c>
      <c r="FG11" s="118">
        <f t="shared" si="1"/>
        <v>0</v>
      </c>
    </row>
    <row r="12" spans="1:163" ht="15" customHeight="1" thickBot="1" x14ac:dyDescent="0.25">
      <c r="B12" s="302" t="s">
        <v>532</v>
      </c>
      <c r="C12" s="303"/>
      <c r="D12" s="304"/>
      <c r="E12" s="311"/>
      <c r="F12" s="312"/>
      <c r="G12" s="312"/>
      <c r="H12" s="312"/>
      <c r="I12" s="312"/>
      <c r="J12" s="312"/>
      <c r="K12" s="313"/>
      <c r="L12" s="305" t="s">
        <v>533</v>
      </c>
      <c r="M12" s="303"/>
      <c r="N12" s="303"/>
      <c r="O12" s="304"/>
      <c r="P12" s="306"/>
      <c r="Q12" s="307"/>
      <c r="R12" s="307"/>
      <c r="S12" s="307"/>
      <c r="T12" s="307"/>
      <c r="U12" s="308"/>
      <c r="V12" s="309" t="s">
        <v>534</v>
      </c>
      <c r="W12" s="310"/>
      <c r="X12" s="296"/>
      <c r="Y12" s="297"/>
      <c r="Z12" s="349"/>
      <c r="AA12" s="350"/>
      <c r="AB12" s="350"/>
      <c r="AC12" s="351"/>
      <c r="AF12" s="4" t="s">
        <v>9</v>
      </c>
      <c r="AG12" s="5"/>
      <c r="AH12" s="5"/>
      <c r="AI12" s="5"/>
      <c r="AJ12" s="5"/>
      <c r="AK12" s="5"/>
      <c r="AL12" s="5"/>
      <c r="AM12" s="5"/>
      <c r="AN12" s="5"/>
      <c r="AO12" s="6"/>
      <c r="AQ12" s="3"/>
      <c r="AR12" s="7" t="s">
        <v>9</v>
      </c>
      <c r="AS12" s="8"/>
      <c r="AT12" s="8"/>
      <c r="AU12" s="8"/>
      <c r="AV12" s="8"/>
      <c r="AW12" s="8"/>
      <c r="AX12" s="8"/>
      <c r="AY12" s="8"/>
      <c r="AZ12" s="8"/>
      <c r="BA12" s="9"/>
      <c r="BC12" s="1">
        <v>1</v>
      </c>
      <c r="BD12" s="4" t="s">
        <v>3</v>
      </c>
      <c r="BE12" s="5"/>
      <c r="BF12" s="5"/>
      <c r="BG12" s="5"/>
      <c r="BH12" s="5"/>
      <c r="BI12" s="5"/>
      <c r="BJ12" s="5"/>
      <c r="BK12" s="5"/>
      <c r="BL12" s="5"/>
      <c r="BM12" s="6"/>
      <c r="BP12" s="16">
        <v>1</v>
      </c>
      <c r="BQ12" s="17">
        <v>0.2</v>
      </c>
      <c r="BR12" s="17">
        <v>0.3</v>
      </c>
      <c r="BS12" s="16"/>
      <c r="BT12" s="17"/>
      <c r="BU12" s="16"/>
      <c r="BV12" s="16"/>
      <c r="BW12" s="16"/>
      <c r="BX12" s="16"/>
      <c r="BY12" s="16"/>
      <c r="CA12" s="2"/>
      <c r="CB12" s="66"/>
      <c r="CC12" s="68" t="s">
        <v>429</v>
      </c>
      <c r="CD12" s="69" t="s">
        <v>445</v>
      </c>
      <c r="CE12" s="69" t="s">
        <v>444</v>
      </c>
      <c r="CF12" s="69" t="s">
        <v>341</v>
      </c>
      <c r="CG12" s="69" t="s">
        <v>443</v>
      </c>
      <c r="CH12" s="69" t="s">
        <v>442</v>
      </c>
      <c r="CI12" s="69" t="s">
        <v>564</v>
      </c>
      <c r="CJ12" s="69" t="s">
        <v>466</v>
      </c>
      <c r="CK12" s="69" t="s">
        <v>603</v>
      </c>
      <c r="CL12" s="69" t="s">
        <v>438</v>
      </c>
      <c r="CM12" s="69" t="s">
        <v>440</v>
      </c>
      <c r="CN12" s="69" t="s">
        <v>441</v>
      </c>
      <c r="CO12" s="69" t="s">
        <v>506</v>
      </c>
      <c r="CP12" s="69" t="s">
        <v>604</v>
      </c>
      <c r="CQ12" s="70" t="s">
        <v>439</v>
      </c>
      <c r="CR12" s="53" t="s">
        <v>424</v>
      </c>
      <c r="CS12" s="31" t="s">
        <v>427</v>
      </c>
      <c r="CT12" s="16" t="s">
        <v>436</v>
      </c>
      <c r="CU12" s="7" t="s">
        <v>558</v>
      </c>
      <c r="CV12" s="54" t="s">
        <v>559</v>
      </c>
      <c r="CZ12" s="329"/>
      <c r="DA12" s="329"/>
      <c r="DB12" s="329"/>
      <c r="DC12" s="329"/>
      <c r="DD12" s="329"/>
      <c r="DE12" s="329"/>
      <c r="DF12" s="31" t="s">
        <v>23</v>
      </c>
      <c r="DG12" s="31" t="s">
        <v>23</v>
      </c>
      <c r="DH12" s="31" t="s">
        <v>23</v>
      </c>
      <c r="DI12" s="31" t="s">
        <v>23</v>
      </c>
      <c r="DJ12" s="31" t="s">
        <v>23</v>
      </c>
      <c r="DK12" s="31" t="s">
        <v>23</v>
      </c>
      <c r="DL12" s="31" t="s">
        <v>489</v>
      </c>
      <c r="DM12" s="31" t="s">
        <v>23</v>
      </c>
      <c r="DN12" s="31" t="s">
        <v>23</v>
      </c>
      <c r="DO12" s="31" t="s">
        <v>489</v>
      </c>
      <c r="DP12" s="13"/>
      <c r="DT12" s="39" t="s">
        <v>618</v>
      </c>
      <c r="DU12" s="1" t="s">
        <v>567</v>
      </c>
      <c r="FD12" s="16">
        <v>3</v>
      </c>
      <c r="FE12" s="32">
        <f t="shared" si="0"/>
        <v>0</v>
      </c>
      <c r="FF12" s="16">
        <f>(COUNTIF(FE$10:$FE12,FE12)=1)+MAX(FF$10:FF11)</f>
        <v>1</v>
      </c>
      <c r="FG12" s="118">
        <f t="shared" si="1"/>
        <v>0</v>
      </c>
    </row>
    <row r="13" spans="1:163" ht="15" customHeight="1" thickBot="1" x14ac:dyDescent="0.25">
      <c r="B13" s="298" t="s">
        <v>647</v>
      </c>
      <c r="C13" s="299"/>
      <c r="D13" s="299"/>
      <c r="E13" s="299"/>
      <c r="F13" s="299"/>
      <c r="G13" s="299"/>
      <c r="H13" s="299"/>
      <c r="I13" s="299"/>
      <c r="J13" s="299"/>
      <c r="K13" s="299"/>
      <c r="L13" s="299"/>
      <c r="M13" s="300"/>
      <c r="N13" s="301" t="s">
        <v>535</v>
      </c>
      <c r="O13" s="299"/>
      <c r="P13" s="299"/>
      <c r="Q13" s="299"/>
      <c r="R13" s="299"/>
      <c r="S13" s="299"/>
      <c r="T13" s="299"/>
      <c r="U13" s="299"/>
      <c r="V13" s="299"/>
      <c r="W13" s="299"/>
      <c r="X13" s="299"/>
      <c r="Y13" s="300"/>
      <c r="Z13" s="349"/>
      <c r="AA13" s="350"/>
      <c r="AB13" s="350"/>
      <c r="AC13" s="351"/>
      <c r="AF13" s="4" t="s">
        <v>10</v>
      </c>
      <c r="AG13" s="5"/>
      <c r="AH13" s="5"/>
      <c r="AI13" s="5"/>
      <c r="AJ13" s="5"/>
      <c r="AK13" s="5"/>
      <c r="AL13" s="5"/>
      <c r="AM13" s="5"/>
      <c r="AN13" s="5"/>
      <c r="AO13" s="6"/>
      <c r="AQ13" s="11"/>
      <c r="AR13" s="7" t="s">
        <v>10</v>
      </c>
      <c r="AS13" s="8"/>
      <c r="AT13" s="8"/>
      <c r="AU13" s="8"/>
      <c r="AV13" s="8"/>
      <c r="AW13" s="8"/>
      <c r="AX13" s="8"/>
      <c r="AY13" s="8"/>
      <c r="AZ13" s="8"/>
      <c r="BA13" s="9"/>
      <c r="BC13" s="1">
        <v>2</v>
      </c>
      <c r="BD13" s="4" t="s">
        <v>4</v>
      </c>
      <c r="BE13" s="5"/>
      <c r="BF13" s="5"/>
      <c r="BG13" s="5"/>
      <c r="BH13" s="5"/>
      <c r="BI13" s="5"/>
      <c r="BJ13" s="5"/>
      <c r="BK13" s="5"/>
      <c r="BL13" s="5"/>
      <c r="BM13" s="6"/>
      <c r="BP13" s="16">
        <v>2</v>
      </c>
      <c r="BQ13" s="17">
        <v>0.3</v>
      </c>
      <c r="BR13" s="17">
        <v>0.4</v>
      </c>
      <c r="BS13" s="16"/>
      <c r="BT13" s="17"/>
      <c r="BU13" s="16"/>
      <c r="BV13" s="16"/>
      <c r="BW13" s="16"/>
      <c r="BX13" s="16"/>
      <c r="BY13" s="16"/>
      <c r="CB13" s="32" t="s">
        <v>430</v>
      </c>
      <c r="CC13" s="67" t="s">
        <v>429</v>
      </c>
      <c r="CD13" s="67" t="s">
        <v>445</v>
      </c>
      <c r="CE13" s="67" t="s">
        <v>444</v>
      </c>
      <c r="CF13" s="67" t="s">
        <v>341</v>
      </c>
      <c r="CG13" s="67" t="s">
        <v>443</v>
      </c>
      <c r="CH13" s="67" t="s">
        <v>442</v>
      </c>
      <c r="CI13" s="67" t="s">
        <v>564</v>
      </c>
      <c r="CJ13" s="67" t="s">
        <v>466</v>
      </c>
      <c r="CK13" s="69" t="s">
        <v>603</v>
      </c>
      <c r="CL13" s="67" t="s">
        <v>438</v>
      </c>
      <c r="CM13" s="67" t="s">
        <v>440</v>
      </c>
      <c r="CN13" s="67" t="s">
        <v>441</v>
      </c>
      <c r="CO13" s="67" t="s">
        <v>506</v>
      </c>
      <c r="CP13" s="69" t="s">
        <v>604</v>
      </c>
      <c r="CQ13" s="49" t="s">
        <v>439</v>
      </c>
      <c r="CR13" s="56">
        <f>IF(B46=CK13,1,IF(B46=CJ13,1,IF(B46=CL13,1,IF(B46=CN13,1,IF(B46=CM13,1,IF(B46=CO13,1,IF(B46=CP13,1,IF(B46=CQ13,1,IF(B46=CH13,1,IF(B46=CG13,1,IF(B46=CC13,2,IF(B46=CF13,2,IF(B46=CE13,2,IF(B46=CD13,2,IF(B46=CI13,3,0)))))))))))))))</f>
        <v>0</v>
      </c>
      <c r="CS13" s="16">
        <f>IF(B46=CJ13,2,IF(B46=CO13,2,IF(B46=CK13,2,IF(B46=CP13,2,IF(B46=CL13,1,IF(B46=CQ13,1,IF(B46=CM13,1,0)))))))</f>
        <v>0</v>
      </c>
      <c r="CT13" s="16">
        <f>IF(B46=CO13,1,IF(B46=CP13,1,IF(B46=CQ13,1,0)))</f>
        <v>0</v>
      </c>
      <c r="CU13" s="7">
        <f t="shared" ref="CU13:CU41" si="2">IF(AND($BD$100=2,CT13=1),1,0)</f>
        <v>0</v>
      </c>
      <c r="CV13" s="54">
        <f>IF(CR13=3,1,0)</f>
        <v>0</v>
      </c>
      <c r="CZ13" s="32" t="s">
        <v>430</v>
      </c>
      <c r="DA13" s="16">
        <f>B46</f>
        <v>0</v>
      </c>
      <c r="DB13" s="16">
        <f>CS13</f>
        <v>0</v>
      </c>
      <c r="DC13" s="16">
        <f>CR13</f>
        <v>0</v>
      </c>
      <c r="DD13" s="16">
        <f>G46</f>
        <v>0</v>
      </c>
      <c r="DE13" s="16">
        <f>IF(J46="Bedarf",1,0)</f>
        <v>0</v>
      </c>
      <c r="DF13" s="33">
        <f>N46</f>
        <v>0</v>
      </c>
      <c r="DG13" s="33">
        <f>L46</f>
        <v>0</v>
      </c>
      <c r="DH13" s="16">
        <f>IF(CU13=1,0,IF(DC13,IF(DG13,0,VLOOKUP(DC13,$CI$86:$CK$88,$BD$25+1,FALSE)),0))</f>
        <v>0</v>
      </c>
      <c r="DI13" s="16">
        <f>IF(DC13=1,VLOOKUP(DC13,$CI$86:$CK$88,$BD$25+1,FALSE),0)</f>
        <v>0</v>
      </c>
      <c r="DJ13" s="94" t="e">
        <f>IF($DF$60&gt;0,DH13/SUM($DH$13:$DH$41)*IF(AND($V$28&gt;0,$BD$100=2),$DF$66,$DF$60),0)</f>
        <v>#DIV/0!</v>
      </c>
      <c r="DK13" s="33" t="e">
        <f>MAX(DG13,DH13/SUM($DH$13:$DH$41)*IF(AND($V$28&gt;0,$BD$100=2),$DF$67,$DF$61))</f>
        <v>#DIV/0!</v>
      </c>
      <c r="DL13" s="16" t="e">
        <f>ROUND(3.1*DK13/POWER(IF(OR(DG13&gt;0,AND($BP$19=1,$CB$78=1)),1.5,0.5),0.5),0)</f>
        <v>#DIV/0!</v>
      </c>
      <c r="DM13" s="34" t="e">
        <f>IF($DF$62&gt;0,DH13/SUM($DH$13:$DH$41)*IF(AND($V$28&gt;0,$BD$100=2),$DF$68,$DF$62),0)</f>
        <v>#REF!</v>
      </c>
      <c r="DN13" s="17" t="e">
        <f>MAX(DG13,DH13/SUM($DH$13:$DH$41)*IF(AND($V$28&gt;0,$BD$100=2),$DF$69,$DF$63))</f>
        <v>#DIV/0!</v>
      </c>
      <c r="DO13" s="32" t="e">
        <f t="shared" ref="DO13:DO41" si="3">ROUND(3.1*DN13/POWER(IF(OR(DG13,AND($BP$19=2,$CB$78=1,$CB$83=1)),1.5,0.5),0.5),0)</f>
        <v>#DIV/0!</v>
      </c>
      <c r="DT13" s="39" t="s">
        <v>619</v>
      </c>
      <c r="DU13" s="1" t="s">
        <v>599</v>
      </c>
      <c r="FD13" s="16">
        <v>4</v>
      </c>
      <c r="FE13" s="32">
        <f t="shared" si="0"/>
        <v>0</v>
      </c>
      <c r="FF13" s="16">
        <f>(COUNTIF(FE$10:$FE13,FE13)=1)+MAX(FF$10:FF12)</f>
        <v>1</v>
      </c>
      <c r="FG13" s="118">
        <f t="shared" si="1"/>
        <v>0</v>
      </c>
    </row>
    <row r="14" spans="1:163" ht="15" customHeight="1" thickBot="1" x14ac:dyDescent="0.25">
      <c r="B14" s="169" t="s">
        <v>536</v>
      </c>
      <c r="C14" s="164"/>
      <c r="D14" s="165"/>
      <c r="E14" s="293"/>
      <c r="F14" s="294"/>
      <c r="G14" s="294"/>
      <c r="H14" s="294"/>
      <c r="I14" s="294"/>
      <c r="J14" s="294"/>
      <c r="K14" s="294"/>
      <c r="L14" s="294"/>
      <c r="M14" s="295"/>
      <c r="N14" s="163" t="s">
        <v>536</v>
      </c>
      <c r="O14" s="164"/>
      <c r="P14" s="165"/>
      <c r="Q14" s="293" t="s">
        <v>681</v>
      </c>
      <c r="R14" s="294"/>
      <c r="S14" s="294"/>
      <c r="T14" s="294"/>
      <c r="U14" s="294"/>
      <c r="V14" s="294"/>
      <c r="W14" s="294"/>
      <c r="X14" s="294"/>
      <c r="Y14" s="295"/>
      <c r="Z14" s="349"/>
      <c r="AA14" s="350"/>
      <c r="AB14" s="350"/>
      <c r="AC14" s="351"/>
      <c r="AF14" s="4" t="s">
        <v>11</v>
      </c>
      <c r="AG14" s="5"/>
      <c r="AH14" s="5"/>
      <c r="AI14" s="5"/>
      <c r="AJ14" s="5"/>
      <c r="AK14" s="5"/>
      <c r="AL14" s="5"/>
      <c r="AM14" s="5"/>
      <c r="AN14" s="5"/>
      <c r="AO14" s="6"/>
      <c r="AQ14" s="3"/>
      <c r="AR14" s="7" t="s">
        <v>11</v>
      </c>
      <c r="AS14" s="8"/>
      <c r="AT14" s="8"/>
      <c r="AU14" s="8"/>
      <c r="AV14" s="8"/>
      <c r="AW14" s="8"/>
      <c r="AX14" s="8"/>
      <c r="AY14" s="8"/>
      <c r="AZ14" s="8"/>
      <c r="BA14" s="9"/>
      <c r="BD14" s="325">
        <f>IF(E23=AR157,2,1)</f>
        <v>1</v>
      </c>
      <c r="BE14" s="326"/>
      <c r="BF14" s="326"/>
      <c r="BG14" s="326"/>
      <c r="BH14" s="326"/>
      <c r="BI14" s="326"/>
      <c r="BJ14" s="326"/>
      <c r="BK14" s="326"/>
      <c r="BL14" s="326"/>
      <c r="BM14" s="327"/>
      <c r="BP14" s="219">
        <f>VLOOKUP(BD95,BP12:BR13,BD25+1)</f>
        <v>0.3</v>
      </c>
      <c r="BQ14" s="220"/>
      <c r="BR14" s="220"/>
      <c r="BS14" s="220"/>
      <c r="BT14" s="220"/>
      <c r="BU14" s="220"/>
      <c r="BV14" s="220"/>
      <c r="BW14" s="220"/>
      <c r="BX14" s="220"/>
      <c r="BY14" s="221"/>
      <c r="CA14" s="2"/>
      <c r="CB14" s="32"/>
      <c r="CC14" s="67"/>
      <c r="CD14" s="67"/>
      <c r="CE14" s="67"/>
      <c r="CF14" s="67"/>
      <c r="CG14" s="67"/>
      <c r="CH14" s="67"/>
      <c r="CI14" s="67"/>
      <c r="CJ14" s="67"/>
      <c r="CK14" s="69"/>
      <c r="CL14" s="67"/>
      <c r="CM14" s="67"/>
      <c r="CN14" s="67"/>
      <c r="CO14" s="67"/>
      <c r="CP14" s="69"/>
      <c r="CQ14" s="49"/>
      <c r="CR14" s="56"/>
      <c r="CS14" s="16"/>
      <c r="CT14" s="16"/>
      <c r="CU14" s="7">
        <f t="shared" si="2"/>
        <v>0</v>
      </c>
      <c r="CV14" s="54"/>
      <c r="CZ14" s="32"/>
      <c r="DA14" s="16"/>
      <c r="DB14" s="16"/>
      <c r="DC14" s="16"/>
      <c r="DD14" s="16"/>
      <c r="DE14" s="16"/>
      <c r="DF14" s="33"/>
      <c r="DG14" s="33"/>
      <c r="DH14" s="16"/>
      <c r="DI14" s="16"/>
      <c r="DJ14" s="94"/>
      <c r="DK14" s="33"/>
      <c r="DL14" s="16">
        <f t="shared" ref="DL14:DL41" si="4">ROUND(3.1*DK14/POWER(IF(OR(DG14&gt;0,AND($BP$19=1,$CB$78=1)),1.5,0.5),0.5),0)</f>
        <v>0</v>
      </c>
      <c r="DM14" s="34"/>
      <c r="DN14" s="17"/>
      <c r="DO14" s="32">
        <f t="shared" si="3"/>
        <v>0</v>
      </c>
      <c r="DT14" s="39" t="s">
        <v>620</v>
      </c>
      <c r="DU14" s="230" t="s">
        <v>617</v>
      </c>
      <c r="DV14" s="230"/>
      <c r="DW14" s="230"/>
      <c r="DX14" s="230"/>
      <c r="DY14" s="230"/>
      <c r="DZ14" s="230"/>
      <c r="EA14" s="230"/>
      <c r="EB14" s="230"/>
      <c r="EC14" s="230"/>
      <c r="ED14" s="230"/>
      <c r="EE14" s="230"/>
      <c r="EF14" s="230"/>
      <c r="EG14" s="230"/>
      <c r="EH14" s="230"/>
      <c r="EI14" s="230"/>
      <c r="EJ14" s="230"/>
      <c r="EK14" s="230"/>
      <c r="EL14" s="230"/>
      <c r="EM14" s="230"/>
      <c r="EN14" s="230"/>
      <c r="EO14" s="230"/>
      <c r="EP14" s="230"/>
      <c r="EQ14" s="230"/>
      <c r="ER14" s="230"/>
      <c r="ES14" s="230"/>
      <c r="ET14" s="230"/>
      <c r="EU14" s="230"/>
      <c r="EV14" s="230"/>
      <c r="EW14" s="230"/>
      <c r="EX14" s="230"/>
      <c r="EY14" s="230"/>
      <c r="EZ14" s="230"/>
      <c r="FA14" s="230"/>
      <c r="FB14" s="230"/>
      <c r="FD14" s="16">
        <v>5</v>
      </c>
      <c r="FE14" s="32">
        <f t="shared" si="0"/>
        <v>0</v>
      </c>
      <c r="FF14" s="16">
        <f>(COUNTIF(FE$10:$FE14,FE14)=1)+MAX(FF$10:FF13)</f>
        <v>1</v>
      </c>
      <c r="FG14" s="118">
        <f t="shared" si="1"/>
        <v>0</v>
      </c>
    </row>
    <row r="15" spans="1:163" ht="15" customHeight="1" thickBot="1" x14ac:dyDescent="0.25">
      <c r="B15" s="169" t="s">
        <v>537</v>
      </c>
      <c r="C15" s="164"/>
      <c r="D15" s="165"/>
      <c r="E15" s="334"/>
      <c r="F15" s="335"/>
      <c r="G15" s="335"/>
      <c r="H15" s="335"/>
      <c r="I15" s="335"/>
      <c r="J15" s="335"/>
      <c r="K15" s="335"/>
      <c r="L15" s="335"/>
      <c r="M15" s="336"/>
      <c r="N15" s="163" t="s">
        <v>537</v>
      </c>
      <c r="O15" s="164"/>
      <c r="P15" s="165"/>
      <c r="Q15" s="334"/>
      <c r="R15" s="335"/>
      <c r="S15" s="335"/>
      <c r="T15" s="335"/>
      <c r="U15" s="335"/>
      <c r="V15" s="335"/>
      <c r="W15" s="335"/>
      <c r="X15" s="335"/>
      <c r="Y15" s="336"/>
      <c r="Z15" s="349"/>
      <c r="AA15" s="350"/>
      <c r="AB15" s="350"/>
      <c r="AC15" s="351"/>
      <c r="AF15" s="4" t="s">
        <v>12</v>
      </c>
      <c r="AG15" s="5"/>
      <c r="AH15" s="5"/>
      <c r="AI15" s="5"/>
      <c r="AJ15" s="5"/>
      <c r="AK15" s="5"/>
      <c r="AL15" s="5"/>
      <c r="AM15" s="5"/>
      <c r="AN15" s="5"/>
      <c r="AO15" s="6"/>
      <c r="AQ15" s="3"/>
      <c r="AR15" s="7" t="s">
        <v>13</v>
      </c>
      <c r="AS15" s="8"/>
      <c r="AT15" s="8"/>
      <c r="AU15" s="8"/>
      <c r="AV15" s="8"/>
      <c r="AW15" s="8"/>
      <c r="AX15" s="8"/>
      <c r="AY15" s="8"/>
      <c r="AZ15" s="8"/>
      <c r="BA15" s="9"/>
      <c r="BD15" s="14"/>
      <c r="BE15" s="14"/>
      <c r="BF15" s="14"/>
      <c r="BG15" s="14"/>
      <c r="BH15" s="14"/>
      <c r="BI15" s="14"/>
      <c r="BJ15" s="14"/>
      <c r="BK15" s="14"/>
      <c r="BL15" s="14"/>
      <c r="BM15" s="14"/>
      <c r="CB15" s="32" t="s">
        <v>432</v>
      </c>
      <c r="CC15" s="16" t="s">
        <v>429</v>
      </c>
      <c r="CD15" s="16" t="s">
        <v>445</v>
      </c>
      <c r="CE15" s="16" t="s">
        <v>444</v>
      </c>
      <c r="CF15" s="16" t="s">
        <v>341</v>
      </c>
      <c r="CG15" s="16" t="s">
        <v>443</v>
      </c>
      <c r="CH15" s="16" t="s">
        <v>442</v>
      </c>
      <c r="CI15" s="16" t="s">
        <v>564</v>
      </c>
      <c r="CJ15" s="16" t="s">
        <v>466</v>
      </c>
      <c r="CK15" s="69" t="s">
        <v>603</v>
      </c>
      <c r="CL15" s="16" t="s">
        <v>438</v>
      </c>
      <c r="CM15" s="16" t="s">
        <v>440</v>
      </c>
      <c r="CN15" s="16" t="s">
        <v>441</v>
      </c>
      <c r="CO15" s="16" t="s">
        <v>506</v>
      </c>
      <c r="CP15" s="69" t="s">
        <v>604</v>
      </c>
      <c r="CQ15" s="7" t="s">
        <v>439</v>
      </c>
      <c r="CR15" s="56">
        <f>IF(B48=CK15,1,IF(B48=CJ15,1,IF(B48=CL15,1,IF(B48=CN15,1,IF(B48=CM15,1,IF(B48=CO15,1,IF(B48=CP15,1,IF(B48=CQ15,1,IF(B48=CH15,1,IF(B48=CG15,1,IF(B48=CC15,2,IF(B48=CF15,2,IF(B48=CE15,2,IF(B48=CD15,2,IF(B48=CI15,3,0)))))))))))))))</f>
        <v>0</v>
      </c>
      <c r="CS15" s="16">
        <f>IF(B48=CJ15,2,IF(B48=CO15,2,IF(B48=CK15,2,IF(B48=CP15,2,IF(B48=CL15,1,IF(B48=CQ15,1,IF(B48=CM15,1,0)))))))</f>
        <v>0</v>
      </c>
      <c r="CT15" s="16">
        <f>IF(B48=CO15,1,IF(B48=CP15,1,IF(B48=CQ15,1,0)))</f>
        <v>0</v>
      </c>
      <c r="CU15" s="7">
        <f t="shared" si="2"/>
        <v>0</v>
      </c>
      <c r="CV15" s="54">
        <f>IF(CR15=3,1,0)</f>
        <v>0</v>
      </c>
      <c r="CZ15" s="32" t="s">
        <v>432</v>
      </c>
      <c r="DA15" s="16">
        <f>B48</f>
        <v>0</v>
      </c>
      <c r="DB15" s="16">
        <f>CS15</f>
        <v>0</v>
      </c>
      <c r="DC15" s="16">
        <f>CR15</f>
        <v>0</v>
      </c>
      <c r="DD15" s="16">
        <f>G48</f>
        <v>0</v>
      </c>
      <c r="DE15" s="16">
        <f>IF(J48="Bedarf",1,0)</f>
        <v>0</v>
      </c>
      <c r="DF15" s="33">
        <f>N48</f>
        <v>0</v>
      </c>
      <c r="DG15" s="33">
        <f>L48</f>
        <v>0</v>
      </c>
      <c r="DH15" s="16">
        <f>IF(CU15=1,0,IF(DC15,IF(DG15,0,VLOOKUP(DC15,$CI$86:$CK$88,$BD$25+1,FALSE)),0))</f>
        <v>0</v>
      </c>
      <c r="DI15" s="16">
        <f>IF(DC15=1,VLOOKUP(DC15,$CI$86:$CK$88,$BD$25+1,FALSE),0)</f>
        <v>0</v>
      </c>
      <c r="DJ15" s="94" t="e">
        <f>IF($DF$60&gt;0,DH15/SUM($DH$13:$DH$41)*IF(AND($V$28&gt;0,$BD$100=2),$DF$66,$DF$60),0)</f>
        <v>#DIV/0!</v>
      </c>
      <c r="DK15" s="33" t="e">
        <f>MAX(DG15,DH15/SUM($DH$13:$DH$41)*IF(AND($V$28&gt;0,$BD$100=2),$DF$67,$DF$61))</f>
        <v>#DIV/0!</v>
      </c>
      <c r="DL15" s="16" t="e">
        <f t="shared" si="4"/>
        <v>#DIV/0!</v>
      </c>
      <c r="DM15" s="34" t="e">
        <f>IF($DF$62&gt;0,DH15/SUM($DH$13:$DH$41)*IF(AND($V$28&gt;0,$BD$100=2),$DF$68,$DF$62),0)</f>
        <v>#REF!</v>
      </c>
      <c r="DN15" s="17" t="e">
        <f>MAX(DG15,DH15/SUM($DH$13:$DH$41)*IF(AND($V$28&gt;0,$BD$100=2),$DF$69,$DF$63))</f>
        <v>#DIV/0!</v>
      </c>
      <c r="DO15" s="32" t="e">
        <f t="shared" si="3"/>
        <v>#DIV/0!</v>
      </c>
      <c r="DT15" s="39"/>
      <c r="DU15" s="230"/>
      <c r="DV15" s="230"/>
      <c r="DW15" s="230"/>
      <c r="DX15" s="230"/>
      <c r="DY15" s="230"/>
      <c r="DZ15" s="230"/>
      <c r="EA15" s="230"/>
      <c r="EB15" s="230"/>
      <c r="EC15" s="230"/>
      <c r="ED15" s="230"/>
      <c r="EE15" s="230"/>
      <c r="EF15" s="230"/>
      <c r="EG15" s="230"/>
      <c r="EH15" s="230"/>
      <c r="EI15" s="230"/>
      <c r="EJ15" s="230"/>
      <c r="EK15" s="230"/>
      <c r="EL15" s="230"/>
      <c r="EM15" s="230"/>
      <c r="EN15" s="230"/>
      <c r="EO15" s="230"/>
      <c r="EP15" s="230"/>
      <c r="EQ15" s="230"/>
      <c r="ER15" s="230"/>
      <c r="ES15" s="230"/>
      <c r="ET15" s="230"/>
      <c r="EU15" s="230"/>
      <c r="EV15" s="230"/>
      <c r="EW15" s="230"/>
      <c r="EX15" s="230"/>
      <c r="EY15" s="230"/>
      <c r="EZ15" s="230"/>
      <c r="FA15" s="230"/>
      <c r="FB15" s="230"/>
      <c r="FD15" s="16">
        <v>6</v>
      </c>
      <c r="FE15" s="32">
        <f t="shared" si="0"/>
        <v>0</v>
      </c>
      <c r="FF15" s="16">
        <f>(COUNTIF(FE$10:$FE15,FE15)=1)+MAX(FF$10:FF14)</f>
        <v>1</v>
      </c>
      <c r="FG15" s="118">
        <f t="shared" si="1"/>
        <v>0</v>
      </c>
    </row>
    <row r="16" spans="1:163" ht="15" customHeight="1" thickBot="1" x14ac:dyDescent="0.25">
      <c r="B16" s="169" t="s">
        <v>6</v>
      </c>
      <c r="C16" s="164"/>
      <c r="D16" s="165"/>
      <c r="E16" s="293"/>
      <c r="F16" s="294"/>
      <c r="G16" s="294"/>
      <c r="H16" s="294"/>
      <c r="I16" s="294"/>
      <c r="J16" s="294"/>
      <c r="K16" s="294"/>
      <c r="L16" s="294"/>
      <c r="M16" s="295"/>
      <c r="N16" s="163" t="s">
        <v>6</v>
      </c>
      <c r="O16" s="164"/>
      <c r="P16" s="165"/>
      <c r="Q16" s="293" t="s">
        <v>682</v>
      </c>
      <c r="R16" s="294"/>
      <c r="S16" s="294"/>
      <c r="T16" s="294"/>
      <c r="U16" s="294"/>
      <c r="V16" s="294"/>
      <c r="W16" s="294"/>
      <c r="X16" s="294"/>
      <c r="Y16" s="295"/>
      <c r="Z16" s="349"/>
      <c r="AA16" s="350"/>
      <c r="AB16" s="350"/>
      <c r="AC16" s="351"/>
      <c r="AF16" s="4" t="s">
        <v>13</v>
      </c>
      <c r="AG16" s="5"/>
      <c r="AH16" s="5"/>
      <c r="AI16" s="5"/>
      <c r="AJ16" s="5"/>
      <c r="AK16" s="5"/>
      <c r="AL16" s="5"/>
      <c r="AM16" s="5"/>
      <c r="AN16" s="5"/>
      <c r="AO16" s="6"/>
      <c r="AQ16" s="3"/>
      <c r="AR16" s="7" t="s">
        <v>17</v>
      </c>
      <c r="AS16" s="8"/>
      <c r="AT16" s="8"/>
      <c r="AU16" s="8"/>
      <c r="AV16" s="8"/>
      <c r="AW16" s="8"/>
      <c r="AX16" s="8"/>
      <c r="AY16" s="8"/>
      <c r="AZ16" s="8"/>
      <c r="BA16" s="9"/>
      <c r="BD16" s="222" t="s">
        <v>473</v>
      </c>
      <c r="BE16" s="223"/>
      <c r="BF16" s="223"/>
      <c r="BG16" s="223"/>
      <c r="BH16" s="223"/>
      <c r="BI16" s="223"/>
      <c r="BJ16" s="223"/>
      <c r="BK16" s="223"/>
      <c r="BL16" s="223"/>
      <c r="BM16" s="224"/>
      <c r="BP16" s="227" t="s">
        <v>415</v>
      </c>
      <c r="BQ16" s="228"/>
      <c r="BR16" s="228"/>
      <c r="BS16" s="228"/>
      <c r="BT16" s="228"/>
      <c r="BU16" s="228"/>
      <c r="BV16" s="228"/>
      <c r="BW16" s="228"/>
      <c r="BX16" s="228"/>
      <c r="BY16" s="229"/>
      <c r="CB16" s="32"/>
      <c r="CC16" s="16"/>
      <c r="CD16" s="16"/>
      <c r="CE16" s="16"/>
      <c r="CF16" s="16"/>
      <c r="CG16" s="16"/>
      <c r="CH16" s="16"/>
      <c r="CI16" s="16"/>
      <c r="CJ16" s="16"/>
      <c r="CK16" s="69"/>
      <c r="CL16" s="16"/>
      <c r="CM16" s="16"/>
      <c r="CN16" s="16"/>
      <c r="CO16" s="16"/>
      <c r="CP16" s="69"/>
      <c r="CQ16" s="7"/>
      <c r="CR16" s="56"/>
      <c r="CS16" s="16"/>
      <c r="CT16" s="16"/>
      <c r="CU16" s="7">
        <f t="shared" si="2"/>
        <v>0</v>
      </c>
      <c r="CV16" s="54"/>
      <c r="CZ16" s="32"/>
      <c r="DA16" s="16"/>
      <c r="DB16" s="16"/>
      <c r="DC16" s="16"/>
      <c r="DD16" s="16"/>
      <c r="DE16" s="16"/>
      <c r="DF16" s="33"/>
      <c r="DG16" s="33"/>
      <c r="DH16" s="16"/>
      <c r="DI16" s="16"/>
      <c r="DJ16" s="94"/>
      <c r="DK16" s="33"/>
      <c r="DL16" s="16">
        <f t="shared" si="4"/>
        <v>0</v>
      </c>
      <c r="DM16" s="34"/>
      <c r="DN16" s="17"/>
      <c r="DO16" s="32">
        <f t="shared" si="3"/>
        <v>0</v>
      </c>
      <c r="DT16" s="39" t="s">
        <v>620</v>
      </c>
      <c r="DU16" s="1" t="s">
        <v>504</v>
      </c>
      <c r="FD16" s="16">
        <v>7</v>
      </c>
      <c r="FE16" s="32">
        <f t="shared" si="0"/>
        <v>0</v>
      </c>
      <c r="FF16" s="16">
        <f>(COUNTIF(FE$10:$FE16,FE16)=1)+MAX(FF$10:FF15)</f>
        <v>1</v>
      </c>
      <c r="FG16" s="118">
        <f t="shared" si="1"/>
        <v>0</v>
      </c>
    </row>
    <row r="17" spans="2:163" ht="15" customHeight="1" thickBot="1" x14ac:dyDescent="0.25">
      <c r="B17" s="169" t="s">
        <v>7</v>
      </c>
      <c r="C17" s="164"/>
      <c r="D17" s="165"/>
      <c r="E17" s="293"/>
      <c r="F17" s="294"/>
      <c r="G17" s="294"/>
      <c r="H17" s="294"/>
      <c r="I17" s="294"/>
      <c r="J17" s="294"/>
      <c r="K17" s="294"/>
      <c r="L17" s="294"/>
      <c r="M17" s="295"/>
      <c r="N17" s="163" t="s">
        <v>7</v>
      </c>
      <c r="O17" s="164"/>
      <c r="P17" s="165"/>
      <c r="Q17" s="293" t="s">
        <v>683</v>
      </c>
      <c r="R17" s="294"/>
      <c r="S17" s="294"/>
      <c r="T17" s="294"/>
      <c r="U17" s="294"/>
      <c r="V17" s="294"/>
      <c r="W17" s="294"/>
      <c r="X17" s="294"/>
      <c r="Y17" s="295"/>
      <c r="Z17" s="349"/>
      <c r="AA17" s="350"/>
      <c r="AB17" s="350"/>
      <c r="AC17" s="351"/>
      <c r="AF17" s="4" t="s">
        <v>15</v>
      </c>
      <c r="AG17" s="5"/>
      <c r="AH17" s="5"/>
      <c r="AI17" s="5"/>
      <c r="AJ17" s="5"/>
      <c r="AK17" s="5"/>
      <c r="AL17" s="5"/>
      <c r="AM17" s="5"/>
      <c r="AN17" s="5"/>
      <c r="AO17" s="6"/>
      <c r="AQ17" s="3"/>
      <c r="AR17" s="7" t="s">
        <v>20</v>
      </c>
      <c r="AS17" s="8"/>
      <c r="AT17" s="8"/>
      <c r="AU17" s="8"/>
      <c r="AV17" s="8"/>
      <c r="AW17" s="8"/>
      <c r="AX17" s="8"/>
      <c r="AY17" s="8"/>
      <c r="AZ17" s="8"/>
      <c r="BA17" s="9"/>
      <c r="BD17" s="7" t="s">
        <v>474</v>
      </c>
      <c r="BE17" s="8"/>
      <c r="BF17" s="8"/>
      <c r="BG17" s="8"/>
      <c r="BH17" s="8"/>
      <c r="BI17" s="8"/>
      <c r="BJ17" s="8"/>
      <c r="BK17" s="8"/>
      <c r="BL17" s="8"/>
      <c r="BM17" s="17">
        <v>1</v>
      </c>
      <c r="BO17" s="1">
        <v>1</v>
      </c>
      <c r="BP17" s="16" t="str">
        <f>IF(AND(V28&gt;0,BD100=2),"","Lüftung zum Feuchteschutz qv,FL")</f>
        <v>Lüftung zum Feuchteschutz qv,FL</v>
      </c>
      <c r="BQ17" s="8"/>
      <c r="BR17" s="8"/>
      <c r="BS17" s="8"/>
      <c r="BT17" s="8"/>
      <c r="BU17" s="8"/>
      <c r="BV17" s="8"/>
      <c r="BW17" s="8"/>
      <c r="BX17" s="8"/>
      <c r="BY17" s="16">
        <v>1</v>
      </c>
      <c r="CA17" s="14"/>
      <c r="CB17" s="32" t="s">
        <v>433</v>
      </c>
      <c r="CC17" s="16" t="s">
        <v>429</v>
      </c>
      <c r="CD17" s="16" t="s">
        <v>445</v>
      </c>
      <c r="CE17" s="16" t="s">
        <v>444</v>
      </c>
      <c r="CF17" s="16" t="s">
        <v>341</v>
      </c>
      <c r="CG17" s="16" t="s">
        <v>443</v>
      </c>
      <c r="CH17" s="16" t="s">
        <v>442</v>
      </c>
      <c r="CI17" s="16" t="s">
        <v>564</v>
      </c>
      <c r="CJ17" s="16" t="s">
        <v>466</v>
      </c>
      <c r="CK17" s="69" t="s">
        <v>603</v>
      </c>
      <c r="CL17" s="16" t="s">
        <v>438</v>
      </c>
      <c r="CM17" s="16" t="s">
        <v>440</v>
      </c>
      <c r="CN17" s="16" t="s">
        <v>441</v>
      </c>
      <c r="CO17" s="16" t="s">
        <v>506</v>
      </c>
      <c r="CP17" s="69" t="s">
        <v>604</v>
      </c>
      <c r="CQ17" s="7" t="s">
        <v>439</v>
      </c>
      <c r="CR17" s="56">
        <f>IF(B50=CK17,1,IF(B50=CJ17,1,IF(B50=CL17,1,IF(B50=CN17,1,IF(B50=CM17,1,IF(B50=CO17,1,IF(B50=CP17,1,IF(B50=CQ17,1,IF(B50=CH17,1,IF(B50=CG17,1,IF(B50=CC17,2,IF(B50=CF17,2,IF(B50=CE17,2,IF(B50=CD17,2,IF(B50=CI17,3,0)))))))))))))))</f>
        <v>0</v>
      </c>
      <c r="CS17" s="16">
        <f>IF(B50=CJ17,2,IF(B50=CO17,2,IF(B50=CK17,2,IF(B50=CP17,2,IF(B50=CL17,1,IF(B50=CQ17,1,IF(B50=CM17,1,0)))))))</f>
        <v>0</v>
      </c>
      <c r="CT17" s="16">
        <f>IF(B50=CO17,1,IF(B50=CP17,1,IF(B50=CQ17,1,0)))</f>
        <v>0</v>
      </c>
      <c r="CU17" s="7">
        <f t="shared" si="2"/>
        <v>0</v>
      </c>
      <c r="CV17" s="54">
        <f>IF(CR17=3,1,0)</f>
        <v>0</v>
      </c>
      <c r="CZ17" s="32" t="s">
        <v>433</v>
      </c>
      <c r="DA17" s="16">
        <f>B50</f>
        <v>0</v>
      </c>
      <c r="DB17" s="16">
        <f>CS17</f>
        <v>0</v>
      </c>
      <c r="DC17" s="16">
        <f>CR17</f>
        <v>0</v>
      </c>
      <c r="DD17" s="16">
        <f>G50</f>
        <v>0</v>
      </c>
      <c r="DE17" s="16">
        <f>IF(J50="Bedarf",1,0)</f>
        <v>0</v>
      </c>
      <c r="DF17" s="33">
        <f>N50</f>
        <v>0</v>
      </c>
      <c r="DG17" s="33">
        <f>L50</f>
        <v>0</v>
      </c>
      <c r="DH17" s="16">
        <f>IF(CU17=1,0,IF(DC17,IF(DG17,0,VLOOKUP(DC17,$CI$86:$CK$88,$BD$25+1,FALSE)),0))</f>
        <v>0</v>
      </c>
      <c r="DI17" s="16">
        <f>IF(DC17=1,VLOOKUP(DC17,$CI$86:$CK$88,$BD$25+1,FALSE),0)</f>
        <v>0</v>
      </c>
      <c r="DJ17" s="94" t="e">
        <f>IF($DF$60&gt;0,DH17/SUM($DH$13:$DH$41)*IF(AND($V$28&gt;0,$BD$100=2),$DF$66,$DF$60),0)</f>
        <v>#DIV/0!</v>
      </c>
      <c r="DK17" s="33" t="e">
        <f>MAX(DG17,DH17/SUM($DH$13:$DH$41)*IF(AND($V$28&gt;0,$BD$100=2),$DF$67,$DF$61))</f>
        <v>#DIV/0!</v>
      </c>
      <c r="DL17" s="16" t="e">
        <f t="shared" si="4"/>
        <v>#DIV/0!</v>
      </c>
      <c r="DM17" s="34" t="e">
        <f>IF($DF$62&gt;0,DH17/SUM($DH$13:$DH$41)*IF(AND($V$28&gt;0,$BD$100=2),$DF$68,$DF$62),0)</f>
        <v>#REF!</v>
      </c>
      <c r="DN17" s="17" t="e">
        <f>MAX(DG17,DH17/SUM($DH$13:$DH$41)*IF(AND($V$28&gt;0,$BD$100=2),$DF$69,$DF$63))</f>
        <v>#DIV/0!</v>
      </c>
      <c r="DO17" s="32" t="e">
        <f t="shared" si="3"/>
        <v>#DIV/0!</v>
      </c>
      <c r="DT17" s="39" t="s">
        <v>621</v>
      </c>
      <c r="DU17" s="1" t="s">
        <v>508</v>
      </c>
      <c r="FD17" s="16">
        <v>8</v>
      </c>
      <c r="FE17" s="32">
        <f t="shared" si="0"/>
        <v>0</v>
      </c>
      <c r="FF17" s="16">
        <f>(COUNTIF(FE$10:$FE17,FE17)=1)+MAX(FF$10:FF16)</f>
        <v>1</v>
      </c>
      <c r="FG17" s="118">
        <f t="shared" si="1"/>
        <v>0</v>
      </c>
    </row>
    <row r="18" spans="2:163" ht="15" customHeight="1" thickBot="1" x14ac:dyDescent="0.25">
      <c r="B18" s="158" t="s">
        <v>538</v>
      </c>
      <c r="C18" s="159"/>
      <c r="D18" s="160"/>
      <c r="E18" s="287"/>
      <c r="F18" s="288"/>
      <c r="G18" s="289"/>
      <c r="H18" s="172" t="s">
        <v>539</v>
      </c>
      <c r="I18" s="160"/>
      <c r="J18" s="290"/>
      <c r="K18" s="291"/>
      <c r="L18" s="291"/>
      <c r="M18" s="292"/>
      <c r="N18" s="172" t="s">
        <v>538</v>
      </c>
      <c r="O18" s="159"/>
      <c r="P18" s="160"/>
      <c r="Q18" s="314">
        <v>393351019827</v>
      </c>
      <c r="R18" s="315"/>
      <c r="S18" s="316"/>
      <c r="T18" s="172" t="s">
        <v>539</v>
      </c>
      <c r="U18" s="160"/>
      <c r="V18" s="317" t="s">
        <v>684</v>
      </c>
      <c r="W18" s="318"/>
      <c r="X18" s="318"/>
      <c r="Y18" s="319"/>
      <c r="Z18" s="352"/>
      <c r="AA18" s="353"/>
      <c r="AB18" s="353"/>
      <c r="AC18" s="354"/>
      <c r="AF18" s="4" t="s">
        <v>16</v>
      </c>
      <c r="AG18" s="5"/>
      <c r="AH18" s="5"/>
      <c r="AI18" s="5"/>
      <c r="AJ18" s="5"/>
      <c r="AK18" s="5"/>
      <c r="AL18" s="5"/>
      <c r="AM18" s="5"/>
      <c r="AN18" s="5"/>
      <c r="AO18" s="6"/>
      <c r="AQ18" s="3"/>
      <c r="AR18" s="7" t="s">
        <v>22</v>
      </c>
      <c r="AS18" s="8"/>
      <c r="AT18" s="8"/>
      <c r="AU18" s="8"/>
      <c r="AV18" s="8"/>
      <c r="AW18" s="8"/>
      <c r="AX18" s="8"/>
      <c r="AY18" s="8"/>
      <c r="AZ18" s="8"/>
      <c r="BA18" s="9"/>
      <c r="BD18" s="7" t="s">
        <v>608</v>
      </c>
      <c r="BE18" s="8"/>
      <c r="BF18" s="8"/>
      <c r="BG18" s="8"/>
      <c r="BH18" s="8"/>
      <c r="BI18" s="8"/>
      <c r="BJ18" s="8"/>
      <c r="BK18" s="8"/>
      <c r="BL18" s="8"/>
      <c r="BM18" s="17">
        <v>1.4</v>
      </c>
      <c r="BO18" s="1">
        <v>2</v>
      </c>
      <c r="BP18" s="16" t="s">
        <v>616</v>
      </c>
      <c r="BQ18" s="8"/>
      <c r="BR18" s="8"/>
      <c r="BS18" s="8"/>
      <c r="BT18" s="8"/>
      <c r="BU18" s="8"/>
      <c r="BV18" s="8"/>
      <c r="BW18" s="8"/>
      <c r="BX18" s="8"/>
      <c r="BY18" s="16">
        <v>2</v>
      </c>
      <c r="CA18" s="13"/>
      <c r="CB18" s="32"/>
      <c r="CC18" s="16"/>
      <c r="CD18" s="16"/>
      <c r="CE18" s="16"/>
      <c r="CF18" s="16"/>
      <c r="CG18" s="16"/>
      <c r="CH18" s="16"/>
      <c r="CI18" s="16"/>
      <c r="CJ18" s="16"/>
      <c r="CK18" s="69"/>
      <c r="CL18" s="16"/>
      <c r="CM18" s="16"/>
      <c r="CN18" s="16"/>
      <c r="CO18" s="16"/>
      <c r="CP18" s="69"/>
      <c r="CQ18" s="7"/>
      <c r="CR18" s="56"/>
      <c r="CS18" s="16"/>
      <c r="CT18" s="16"/>
      <c r="CU18" s="7">
        <f t="shared" si="2"/>
        <v>0</v>
      </c>
      <c r="CV18" s="54"/>
      <c r="CZ18" s="32"/>
      <c r="DA18" s="16"/>
      <c r="DB18" s="16"/>
      <c r="DC18" s="16"/>
      <c r="DD18" s="16"/>
      <c r="DE18" s="16"/>
      <c r="DF18" s="33"/>
      <c r="DG18" s="33"/>
      <c r="DH18" s="16"/>
      <c r="DI18" s="16"/>
      <c r="DJ18" s="94"/>
      <c r="DK18" s="33"/>
      <c r="DL18" s="16">
        <f t="shared" si="4"/>
        <v>0</v>
      </c>
      <c r="DM18" s="34"/>
      <c r="DN18" s="17"/>
      <c r="DO18" s="32">
        <f t="shared" si="3"/>
        <v>0</v>
      </c>
      <c r="DT18" s="39" t="s">
        <v>622</v>
      </c>
      <c r="DU18" s="65" t="s">
        <v>601</v>
      </c>
      <c r="FD18" s="16">
        <v>9</v>
      </c>
      <c r="FE18" s="32">
        <f t="shared" si="0"/>
        <v>0</v>
      </c>
      <c r="FF18" s="16">
        <f>(COUNTIF(FE$10:$FE18,FE18)=1)+MAX(FF$10:FF17)</f>
        <v>1</v>
      </c>
      <c r="FG18" s="118">
        <f t="shared" si="1"/>
        <v>0</v>
      </c>
    </row>
    <row r="19" spans="2:163" ht="15" customHeight="1" thickBot="1" x14ac:dyDescent="0.25">
      <c r="B19" s="342" t="s">
        <v>553</v>
      </c>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4"/>
      <c r="AF19" s="4" t="s">
        <v>17</v>
      </c>
      <c r="AG19" s="5"/>
      <c r="AH19" s="5"/>
      <c r="AI19" s="5"/>
      <c r="AJ19" s="5"/>
      <c r="AK19" s="5"/>
      <c r="AL19" s="5"/>
      <c r="AM19" s="5"/>
      <c r="AN19" s="5"/>
      <c r="AO19" s="6"/>
      <c r="AQ19" s="13"/>
      <c r="AR19" s="7" t="s">
        <v>25</v>
      </c>
      <c r="AS19" s="8"/>
      <c r="AT19" s="8"/>
      <c r="AU19" s="8"/>
      <c r="AV19" s="8"/>
      <c r="AW19" s="8"/>
      <c r="AX19" s="8"/>
      <c r="AY19" s="8"/>
      <c r="AZ19" s="8"/>
      <c r="BA19" s="9"/>
      <c r="BD19" s="7" t="s">
        <v>609</v>
      </c>
      <c r="BE19" s="8"/>
      <c r="BF19" s="8"/>
      <c r="BG19" s="8"/>
      <c r="BH19" s="8"/>
      <c r="BI19" s="8"/>
      <c r="BJ19" s="8"/>
      <c r="BK19" s="8"/>
      <c r="BL19" s="8"/>
      <c r="BM19" s="17">
        <v>0.6</v>
      </c>
      <c r="BP19" s="219">
        <f>VLOOKUP(R37,BP17:BY18,10,FALSE)</f>
        <v>1</v>
      </c>
      <c r="BQ19" s="220"/>
      <c r="BR19" s="220"/>
      <c r="BS19" s="220"/>
      <c r="BT19" s="220"/>
      <c r="BU19" s="220"/>
      <c r="BV19" s="220"/>
      <c r="BW19" s="220"/>
      <c r="BX19" s="220"/>
      <c r="BY19" s="221"/>
      <c r="CA19" s="15"/>
      <c r="CB19" s="32" t="s">
        <v>434</v>
      </c>
      <c r="CC19" s="16" t="s">
        <v>429</v>
      </c>
      <c r="CD19" s="16" t="s">
        <v>445</v>
      </c>
      <c r="CE19" s="16" t="s">
        <v>444</v>
      </c>
      <c r="CF19" s="16" t="s">
        <v>341</v>
      </c>
      <c r="CG19" s="16" t="s">
        <v>443</v>
      </c>
      <c r="CH19" s="16" t="s">
        <v>442</v>
      </c>
      <c r="CI19" s="16" t="s">
        <v>564</v>
      </c>
      <c r="CJ19" s="16" t="s">
        <v>466</v>
      </c>
      <c r="CK19" s="69" t="s">
        <v>603</v>
      </c>
      <c r="CL19" s="16" t="s">
        <v>438</v>
      </c>
      <c r="CM19" s="16" t="s">
        <v>440</v>
      </c>
      <c r="CN19" s="16" t="s">
        <v>441</v>
      </c>
      <c r="CO19" s="16" t="s">
        <v>506</v>
      </c>
      <c r="CP19" s="69" t="s">
        <v>604</v>
      </c>
      <c r="CQ19" s="7" t="s">
        <v>439</v>
      </c>
      <c r="CR19" s="56">
        <f>IF(B52=CK19,1,IF(B52=CJ19,1,IF(B52=CL19,1,IF(B52=CN19,1,IF(B52=CM19,1,IF(B52=CO19,1,IF(B52=CP19,1,IF(B52=CQ19,1,IF(B52=CH19,1,IF(B52=CG19,1,IF(B52=CC19,2,IF(B52=CF19,2,IF(B52=CE19,2,IF(B52=CD19,2,IF(B52=CI19,3,0)))))))))))))))</f>
        <v>0</v>
      </c>
      <c r="CS19" s="16">
        <f>IF(B52=CJ19,2,IF(B52=CO19,2,IF(B52=CK19,2,IF(B52=CP19,2,IF(B52=CL19,1,IF(B52=CQ19,1,IF(B52=CM19,1,0)))))))</f>
        <v>0</v>
      </c>
      <c r="CT19" s="16">
        <f>IF(B52=CO19,1,IF(B52=CP19,1,IF(B52=CQ19,1,0)))</f>
        <v>0</v>
      </c>
      <c r="CU19" s="7">
        <f t="shared" si="2"/>
        <v>0</v>
      </c>
      <c r="CV19" s="54">
        <f>IF(CR19=3,1,0)</f>
        <v>0</v>
      </c>
      <c r="CZ19" s="32" t="s">
        <v>434</v>
      </c>
      <c r="DA19" s="16">
        <f>B52</f>
        <v>0</v>
      </c>
      <c r="DB19" s="16">
        <f>CS19</f>
        <v>0</v>
      </c>
      <c r="DC19" s="16">
        <f>CR19</f>
        <v>0</v>
      </c>
      <c r="DD19" s="16">
        <f>G52</f>
        <v>0</v>
      </c>
      <c r="DE19" s="16">
        <f>IF(J52="Bedarf",1,0)</f>
        <v>0</v>
      </c>
      <c r="DF19" s="33">
        <f>N52</f>
        <v>0</v>
      </c>
      <c r="DG19" s="33">
        <f>L52</f>
        <v>0</v>
      </c>
      <c r="DH19" s="16">
        <f>IF(CU19=1,0,IF(DC19,IF(DG19,0,VLOOKUP(DC19,$CI$86:$CK$88,$BD$25+1,FALSE)),0))</f>
        <v>0</v>
      </c>
      <c r="DI19" s="16">
        <f>IF(DC19=1,VLOOKUP(DC19,$CI$86:$CK$88,$BD$25+1,FALSE),0)</f>
        <v>0</v>
      </c>
      <c r="DJ19" s="94" t="e">
        <f>IF($DF$60&gt;0,DH19/SUM($DH$13:$DH$41)*IF(AND($V$28&gt;0,$BD$100=2),$DF$66,$DF$60),0)</f>
        <v>#DIV/0!</v>
      </c>
      <c r="DK19" s="33" t="e">
        <f>MAX(DG19,DH19/SUM($DH$13:$DH$41)*IF(AND($V$28&gt;0,$BD$100=2),$DF$67,$DF$61))</f>
        <v>#DIV/0!</v>
      </c>
      <c r="DL19" s="16" t="e">
        <f t="shared" si="4"/>
        <v>#DIV/0!</v>
      </c>
      <c r="DM19" s="34" t="e">
        <f>IF($DF$62&gt;0,DH19/SUM($DH$13:$DH$41)*IF(AND($V$28&gt;0,$BD$100=2),$DF$68,$DF$62),0)</f>
        <v>#REF!</v>
      </c>
      <c r="DN19" s="17" t="e">
        <f>MAX(DG19,DH19/SUM($DH$13:$DH$41)*IF(AND($V$28&gt;0,$BD$100=2),$DF$69,$DF$63))</f>
        <v>#DIV/0!</v>
      </c>
      <c r="DO19" s="32" t="e">
        <f t="shared" si="3"/>
        <v>#DIV/0!</v>
      </c>
      <c r="DT19" s="39" t="s">
        <v>623</v>
      </c>
      <c r="DU19" s="1" t="s">
        <v>600</v>
      </c>
      <c r="FD19" s="16">
        <v>10</v>
      </c>
      <c r="FE19" s="32">
        <f t="shared" si="0"/>
        <v>0</v>
      </c>
      <c r="FF19" s="16">
        <f>(COUNTIF(FE$10:$FE19,FE19)=1)+MAX(FF$10:FF18)</f>
        <v>1</v>
      </c>
      <c r="FG19" s="118">
        <f t="shared" si="1"/>
        <v>0</v>
      </c>
    </row>
    <row r="20" spans="2:163" ht="15" customHeight="1" thickBot="1" x14ac:dyDescent="0.25">
      <c r="B20" s="298" t="s">
        <v>345</v>
      </c>
      <c r="C20" s="299"/>
      <c r="D20" s="299"/>
      <c r="E20" s="299"/>
      <c r="F20" s="299"/>
      <c r="G20" s="299"/>
      <c r="H20" s="299"/>
      <c r="I20" s="299"/>
      <c r="J20" s="299"/>
      <c r="K20" s="299"/>
      <c r="L20" s="299"/>
      <c r="M20" s="299"/>
      <c r="N20" s="299"/>
      <c r="O20" s="300"/>
      <c r="P20" s="301" t="s">
        <v>344</v>
      </c>
      <c r="Q20" s="299"/>
      <c r="R20" s="299"/>
      <c r="S20" s="299"/>
      <c r="T20" s="299"/>
      <c r="U20" s="299"/>
      <c r="V20" s="299"/>
      <c r="W20" s="299"/>
      <c r="X20" s="299"/>
      <c r="Y20" s="299"/>
      <c r="Z20" s="299"/>
      <c r="AA20" s="299"/>
      <c r="AB20" s="299"/>
      <c r="AC20" s="345"/>
      <c r="AF20" s="4" t="s">
        <v>18</v>
      </c>
      <c r="AG20" s="5"/>
      <c r="AH20" s="5"/>
      <c r="AI20" s="5"/>
      <c r="AJ20" s="5"/>
      <c r="AK20" s="5"/>
      <c r="AL20" s="5"/>
      <c r="AM20" s="5"/>
      <c r="AN20" s="5"/>
      <c r="AO20" s="6"/>
      <c r="AQ20" s="13"/>
      <c r="AR20" s="7" t="s">
        <v>28</v>
      </c>
      <c r="AS20" s="8"/>
      <c r="AT20" s="8"/>
      <c r="AU20" s="8"/>
      <c r="AV20" s="8"/>
      <c r="AW20" s="8"/>
      <c r="AX20" s="8"/>
      <c r="AY20" s="8"/>
      <c r="AZ20" s="8"/>
      <c r="BA20" s="9"/>
      <c r="BD20" s="240">
        <f>VLOOKUP(E25,BD17:BM19,10,FALSE)</f>
        <v>1</v>
      </c>
      <c r="BE20" s="241"/>
      <c r="BF20" s="241"/>
      <c r="BG20" s="241"/>
      <c r="BH20" s="241"/>
      <c r="BI20" s="241"/>
      <c r="BJ20" s="241"/>
      <c r="BK20" s="241"/>
      <c r="BL20" s="241"/>
      <c r="BM20" s="242"/>
      <c r="CA20" s="2"/>
      <c r="CB20" s="32"/>
      <c r="CC20" s="16"/>
      <c r="CD20" s="16"/>
      <c r="CE20" s="16"/>
      <c r="CF20" s="16"/>
      <c r="CG20" s="16"/>
      <c r="CH20" s="16"/>
      <c r="CI20" s="16"/>
      <c r="CJ20" s="16"/>
      <c r="CK20" s="69"/>
      <c r="CL20" s="16"/>
      <c r="CM20" s="16"/>
      <c r="CN20" s="16"/>
      <c r="CO20" s="16"/>
      <c r="CP20" s="69"/>
      <c r="CQ20" s="7"/>
      <c r="CR20" s="56"/>
      <c r="CS20" s="16"/>
      <c r="CT20" s="16"/>
      <c r="CU20" s="7">
        <f t="shared" si="2"/>
        <v>0</v>
      </c>
      <c r="CV20" s="54"/>
      <c r="CZ20" s="32"/>
      <c r="DA20" s="16"/>
      <c r="DB20" s="16"/>
      <c r="DC20" s="16"/>
      <c r="DD20" s="16"/>
      <c r="DE20" s="16"/>
      <c r="DF20" s="33"/>
      <c r="DG20" s="33"/>
      <c r="DH20" s="16"/>
      <c r="DI20" s="16"/>
      <c r="DJ20" s="94"/>
      <c r="DK20" s="33"/>
      <c r="DL20" s="16">
        <f t="shared" si="4"/>
        <v>0</v>
      </c>
      <c r="DM20" s="34"/>
      <c r="DN20" s="17"/>
      <c r="DO20" s="32">
        <f t="shared" si="3"/>
        <v>0</v>
      </c>
      <c r="DT20" s="39" t="s">
        <v>623</v>
      </c>
      <c r="DU20" s="28" t="s">
        <v>610</v>
      </c>
      <c r="FD20" s="16">
        <v>11</v>
      </c>
      <c r="FE20" s="32">
        <f t="shared" si="0"/>
        <v>0</v>
      </c>
      <c r="FF20" s="16">
        <f>(COUNTIF(FE$10:$FE20,FE20)=1)+MAX(FF$10:FF19)</f>
        <v>1</v>
      </c>
      <c r="FG20" s="118">
        <f t="shared" si="1"/>
        <v>0</v>
      </c>
    </row>
    <row r="21" spans="2:163" ht="15" customHeight="1" thickBot="1" x14ac:dyDescent="0.25">
      <c r="B21" s="169" t="s">
        <v>6</v>
      </c>
      <c r="C21" s="164"/>
      <c r="D21" s="165"/>
      <c r="E21" s="166"/>
      <c r="F21" s="167"/>
      <c r="G21" s="167"/>
      <c r="H21" s="167"/>
      <c r="I21" s="167"/>
      <c r="J21" s="167"/>
      <c r="K21" s="167"/>
      <c r="L21" s="167"/>
      <c r="M21" s="167"/>
      <c r="N21" s="167"/>
      <c r="O21" s="168"/>
      <c r="P21" s="163" t="s">
        <v>540</v>
      </c>
      <c r="Q21" s="164"/>
      <c r="R21" s="164"/>
      <c r="S21" s="164"/>
      <c r="T21" s="164"/>
      <c r="U21" s="165"/>
      <c r="V21" s="166" t="s">
        <v>407</v>
      </c>
      <c r="W21" s="167"/>
      <c r="X21" s="167"/>
      <c r="Y21" s="167"/>
      <c r="Z21" s="167"/>
      <c r="AA21" s="167"/>
      <c r="AB21" s="167"/>
      <c r="AC21" s="271"/>
      <c r="AF21" s="4" t="s">
        <v>20</v>
      </c>
      <c r="AG21" s="5"/>
      <c r="AH21" s="5"/>
      <c r="AI21" s="5"/>
      <c r="AJ21" s="5"/>
      <c r="AK21" s="5"/>
      <c r="AL21" s="5"/>
      <c r="AM21" s="5"/>
      <c r="AN21" s="5"/>
      <c r="AO21" s="6"/>
      <c r="AR21" s="7" t="s">
        <v>30</v>
      </c>
      <c r="AS21" s="8"/>
      <c r="AT21" s="8"/>
      <c r="AU21" s="8"/>
      <c r="AV21" s="8"/>
      <c r="AW21" s="8"/>
      <c r="AX21" s="8"/>
      <c r="AY21" s="8"/>
      <c r="AZ21" s="8"/>
      <c r="BA21" s="9"/>
      <c r="BD21" s="14"/>
      <c r="BE21" s="14"/>
      <c r="BF21" s="14"/>
      <c r="BG21" s="14"/>
      <c r="BH21" s="14"/>
      <c r="BI21" s="14"/>
      <c r="BJ21" s="14"/>
      <c r="BK21" s="14"/>
      <c r="BL21" s="14"/>
      <c r="BM21" s="14"/>
      <c r="BP21" s="222" t="s">
        <v>413</v>
      </c>
      <c r="BQ21" s="223"/>
      <c r="BR21" s="223"/>
      <c r="BS21" s="223"/>
      <c r="BT21" s="223"/>
      <c r="BU21" s="223"/>
      <c r="BV21" s="223"/>
      <c r="BW21" s="223"/>
      <c r="BX21" s="223"/>
      <c r="BY21" s="224"/>
      <c r="CA21" s="2"/>
      <c r="CB21" s="32" t="s">
        <v>435</v>
      </c>
      <c r="CC21" s="16" t="s">
        <v>429</v>
      </c>
      <c r="CD21" s="16" t="s">
        <v>445</v>
      </c>
      <c r="CE21" s="16" t="s">
        <v>444</v>
      </c>
      <c r="CF21" s="16" t="s">
        <v>341</v>
      </c>
      <c r="CG21" s="16" t="s">
        <v>443</v>
      </c>
      <c r="CH21" s="16" t="s">
        <v>442</v>
      </c>
      <c r="CI21" s="16" t="s">
        <v>564</v>
      </c>
      <c r="CJ21" s="16" t="s">
        <v>466</v>
      </c>
      <c r="CK21" s="69" t="s">
        <v>603</v>
      </c>
      <c r="CL21" s="16" t="s">
        <v>438</v>
      </c>
      <c r="CM21" s="16" t="s">
        <v>440</v>
      </c>
      <c r="CN21" s="16" t="s">
        <v>441</v>
      </c>
      <c r="CO21" s="16" t="s">
        <v>506</v>
      </c>
      <c r="CP21" s="69" t="s">
        <v>604</v>
      </c>
      <c r="CQ21" s="7" t="s">
        <v>439</v>
      </c>
      <c r="CR21" s="56">
        <f>IF(B54=CK21,1,IF(B54=CJ21,1,IF(B54=CL21,1,IF(B54=CN21,1,IF(B54=CM21,1,IF(B54=CO21,1,IF(B54=CP21,1,IF(B54=CQ21,1,IF(B54=CH21,1,IF(B54=CG21,1,IF(B54=CC21,2,IF(B54=CF21,2,IF(B54=CE21,2,IF(B54=CD21,2,IF(B54=CI21,3,0)))))))))))))))</f>
        <v>0</v>
      </c>
      <c r="CS21" s="16">
        <f>IF(B54=CJ21,2,IF(B54=CO21,2,IF(B54=CK21,2,IF(B54=CP21,2,IF(B54=CL21,1,IF(B54=CQ21,1,IF(B54=CM21,1,0)))))))</f>
        <v>0</v>
      </c>
      <c r="CT21" s="16">
        <f>IF(B54=CO21,1,IF(B54=CP21,1,IF(B54=CQ21,1,0)))</f>
        <v>0</v>
      </c>
      <c r="CU21" s="7">
        <f t="shared" si="2"/>
        <v>0</v>
      </c>
      <c r="CV21" s="54">
        <f>IF(CR21=3,1,0)</f>
        <v>0</v>
      </c>
      <c r="CZ21" s="32" t="s">
        <v>435</v>
      </c>
      <c r="DA21" s="16">
        <f>B54</f>
        <v>0</v>
      </c>
      <c r="DB21" s="16">
        <f>CS21</f>
        <v>0</v>
      </c>
      <c r="DC21" s="16">
        <f>CR21</f>
        <v>0</v>
      </c>
      <c r="DD21" s="16">
        <f>G54</f>
        <v>0</v>
      </c>
      <c r="DE21" s="16">
        <f>IF(J54="Bedarf",1,0)</f>
        <v>0</v>
      </c>
      <c r="DF21" s="33">
        <f>N54</f>
        <v>0</v>
      </c>
      <c r="DG21" s="33">
        <f>L54</f>
        <v>0</v>
      </c>
      <c r="DH21" s="16">
        <f>IF(CU21=1,0,IF(DC21,IF(DG21,0,VLOOKUP(DC21,$CI$86:$CK$88,$BD$25+1,FALSE)),0))</f>
        <v>0</v>
      </c>
      <c r="DI21" s="16">
        <f>IF(DC21=1,VLOOKUP(DC21,$CI$86:$CK$88,$BD$25+1,FALSE),0)</f>
        <v>0</v>
      </c>
      <c r="DJ21" s="94" t="e">
        <f>IF($DF$60&gt;0,DH21/SUM($DH$13:$DH$41)*IF(AND($V$28&gt;0,$BD$100=2),$DF$66,$DF$60),0)</f>
        <v>#DIV/0!</v>
      </c>
      <c r="DK21" s="33" t="e">
        <f>MAX(DG21,DH21/SUM($DH$13:$DH$41)*IF(AND($V$28&gt;0,$BD$100=2),$DF$67,$DF$61))</f>
        <v>#DIV/0!</v>
      </c>
      <c r="DL21" s="16" t="e">
        <f t="shared" si="4"/>
        <v>#DIV/0!</v>
      </c>
      <c r="DM21" s="34" t="e">
        <f>IF($DF$62&gt;0,DH21/SUM($DH$13:$DH$41)*IF(AND($V$28&gt;0,$BD$100=2),$DF$68,$DF$62),0)</f>
        <v>#REF!</v>
      </c>
      <c r="DN21" s="17" t="e">
        <f>MAX(DG21,DH21/SUM($DH$13:$DH$41)*IF(AND($V$28&gt;0,$BD$100=2),$DF$69,$DF$63))</f>
        <v>#DIV/0!</v>
      </c>
      <c r="DO21" s="32" t="e">
        <f t="shared" si="3"/>
        <v>#DIV/0!</v>
      </c>
      <c r="DT21" s="39" t="s">
        <v>624</v>
      </c>
      <c r="DU21" s="230" t="s">
        <v>614</v>
      </c>
      <c r="DV21" s="230"/>
      <c r="DW21" s="230"/>
      <c r="DX21" s="230"/>
      <c r="DY21" s="230"/>
      <c r="DZ21" s="230"/>
      <c r="EA21" s="230"/>
      <c r="EB21" s="230"/>
      <c r="EC21" s="230"/>
      <c r="ED21" s="230"/>
      <c r="EE21" s="230"/>
      <c r="EF21" s="230"/>
      <c r="EG21" s="230"/>
      <c r="EH21" s="230"/>
      <c r="EI21" s="230"/>
      <c r="EJ21" s="230"/>
      <c r="EK21" s="230"/>
      <c r="EL21" s="230"/>
      <c r="EM21" s="230"/>
      <c r="EN21" s="230"/>
      <c r="EO21" s="230"/>
      <c r="EP21" s="230"/>
      <c r="EQ21" s="230"/>
      <c r="ER21" s="230"/>
      <c r="ES21" s="230"/>
      <c r="ET21" s="230"/>
      <c r="EU21" s="230"/>
      <c r="EV21" s="230"/>
      <c r="EW21" s="230"/>
      <c r="EX21" s="230"/>
      <c r="EY21" s="230"/>
      <c r="EZ21" s="230"/>
      <c r="FA21" s="230"/>
      <c r="FB21" s="230"/>
      <c r="FD21" s="16">
        <v>12</v>
      </c>
      <c r="FE21" s="32">
        <f t="shared" si="0"/>
        <v>0</v>
      </c>
      <c r="FF21" s="16">
        <f>(COUNTIF(FE$10:$FE21,FE21)=1)+MAX(FF$10:FF20)</f>
        <v>1</v>
      </c>
      <c r="FG21" s="118">
        <f t="shared" si="1"/>
        <v>0</v>
      </c>
    </row>
    <row r="22" spans="2:163" ht="15" customHeight="1" thickBot="1" x14ac:dyDescent="0.25">
      <c r="B22" s="169" t="s">
        <v>7</v>
      </c>
      <c r="C22" s="164"/>
      <c r="D22" s="165"/>
      <c r="E22" s="166"/>
      <c r="F22" s="167"/>
      <c r="G22" s="167"/>
      <c r="H22" s="167"/>
      <c r="I22" s="167"/>
      <c r="J22" s="167"/>
      <c r="K22" s="167"/>
      <c r="L22" s="167"/>
      <c r="M22" s="167"/>
      <c r="N22" s="167"/>
      <c r="O22" s="168"/>
      <c r="P22" s="163" t="s">
        <v>541</v>
      </c>
      <c r="Q22" s="164"/>
      <c r="R22" s="164"/>
      <c r="S22" s="164"/>
      <c r="T22" s="164"/>
      <c r="U22" s="165"/>
      <c r="V22" s="166" t="s">
        <v>602</v>
      </c>
      <c r="W22" s="167"/>
      <c r="X22" s="167"/>
      <c r="Y22" s="167"/>
      <c r="Z22" s="167"/>
      <c r="AA22" s="167"/>
      <c r="AB22" s="167"/>
      <c r="AC22" s="271"/>
      <c r="AF22" s="7" t="s">
        <v>346</v>
      </c>
      <c r="AG22" s="8"/>
      <c r="AH22" s="8"/>
      <c r="AI22" s="8"/>
      <c r="AJ22" s="8"/>
      <c r="AK22" s="8"/>
      <c r="AL22" s="8"/>
      <c r="AM22" s="8"/>
      <c r="AN22" s="8"/>
      <c r="AO22" s="9"/>
      <c r="AR22" s="7" t="s">
        <v>31</v>
      </c>
      <c r="AS22" s="8"/>
      <c r="AT22" s="8"/>
      <c r="AU22" s="8"/>
      <c r="AV22" s="8"/>
      <c r="AW22" s="8"/>
      <c r="AX22" s="8"/>
      <c r="AY22" s="8"/>
      <c r="AZ22" s="8"/>
      <c r="BA22" s="9"/>
      <c r="BD22" s="227" t="s">
        <v>5</v>
      </c>
      <c r="BE22" s="228"/>
      <c r="BF22" s="228"/>
      <c r="BG22" s="228"/>
      <c r="BH22" s="228"/>
      <c r="BI22" s="228"/>
      <c r="BJ22" s="228"/>
      <c r="BK22" s="228"/>
      <c r="BL22" s="228"/>
      <c r="BM22" s="229"/>
      <c r="BP22" s="237" t="s">
        <v>410</v>
      </c>
      <c r="BQ22" s="238"/>
      <c r="BR22" s="238"/>
      <c r="BS22" s="238"/>
      <c r="BT22" s="238"/>
      <c r="BU22" s="239"/>
      <c r="BV22" s="240">
        <f>V25-V28</f>
        <v>0</v>
      </c>
      <c r="BW22" s="241"/>
      <c r="BX22" s="241"/>
      <c r="BY22" s="242"/>
      <c r="CB22" s="32"/>
      <c r="CC22" s="16"/>
      <c r="CD22" s="16"/>
      <c r="CE22" s="16"/>
      <c r="CF22" s="16"/>
      <c r="CG22" s="16"/>
      <c r="CH22" s="16"/>
      <c r="CI22" s="16"/>
      <c r="CJ22" s="16"/>
      <c r="CK22" s="69"/>
      <c r="CL22" s="16"/>
      <c r="CM22" s="16"/>
      <c r="CN22" s="16"/>
      <c r="CO22" s="16"/>
      <c r="CP22" s="69"/>
      <c r="CQ22" s="7"/>
      <c r="CR22" s="56"/>
      <c r="CS22" s="16"/>
      <c r="CT22" s="16"/>
      <c r="CU22" s="7">
        <f t="shared" si="2"/>
        <v>0</v>
      </c>
      <c r="CV22" s="54"/>
      <c r="CZ22" s="32"/>
      <c r="DA22" s="16"/>
      <c r="DB22" s="16"/>
      <c r="DC22" s="16"/>
      <c r="DD22" s="16"/>
      <c r="DE22" s="16"/>
      <c r="DF22" s="33"/>
      <c r="DG22" s="33"/>
      <c r="DH22" s="16"/>
      <c r="DI22" s="16"/>
      <c r="DJ22" s="94"/>
      <c r="DK22" s="33"/>
      <c r="DL22" s="16">
        <f t="shared" si="4"/>
        <v>0</v>
      </c>
      <c r="DM22" s="34"/>
      <c r="DN22" s="17"/>
      <c r="DO22" s="32">
        <f t="shared" si="3"/>
        <v>0</v>
      </c>
      <c r="DT22" s="39"/>
      <c r="DU22" s="230"/>
      <c r="DV22" s="230"/>
      <c r="DW22" s="230"/>
      <c r="DX22" s="230"/>
      <c r="DY22" s="230"/>
      <c r="DZ22" s="230"/>
      <c r="EA22" s="230"/>
      <c r="EB22" s="230"/>
      <c r="EC22" s="230"/>
      <c r="ED22" s="230"/>
      <c r="EE22" s="230"/>
      <c r="EF22" s="230"/>
      <c r="EG22" s="230"/>
      <c r="EH22" s="230"/>
      <c r="EI22" s="230"/>
      <c r="EJ22" s="230"/>
      <c r="EK22" s="230"/>
      <c r="EL22" s="230"/>
      <c r="EM22" s="230"/>
      <c r="EN22" s="230"/>
      <c r="EO22" s="230"/>
      <c r="EP22" s="230"/>
      <c r="EQ22" s="230"/>
      <c r="ER22" s="230"/>
      <c r="ES22" s="230"/>
      <c r="ET22" s="230"/>
      <c r="EU22" s="230"/>
      <c r="EV22" s="230"/>
      <c r="EW22" s="230"/>
      <c r="EX22" s="230"/>
      <c r="EY22" s="230"/>
      <c r="EZ22" s="230"/>
      <c r="FA22" s="230"/>
      <c r="FB22" s="230"/>
      <c r="FD22" s="16">
        <v>13</v>
      </c>
      <c r="FE22" s="32">
        <f t="shared" si="0"/>
        <v>0</v>
      </c>
      <c r="FF22" s="16">
        <f>(COUNTIF(FE$10:$FE22,FE22)=1)+MAX(FF$10:FF21)</f>
        <v>1</v>
      </c>
      <c r="FG22" s="118">
        <f t="shared" si="1"/>
        <v>0</v>
      </c>
    </row>
    <row r="23" spans="2:163" ht="15" customHeight="1" thickBot="1" x14ac:dyDescent="0.25">
      <c r="B23" s="169" t="s">
        <v>542</v>
      </c>
      <c r="C23" s="164"/>
      <c r="D23" s="165"/>
      <c r="E23" s="166" t="s">
        <v>225</v>
      </c>
      <c r="F23" s="167"/>
      <c r="G23" s="167"/>
      <c r="H23" s="167"/>
      <c r="I23" s="167"/>
      <c r="J23" s="167"/>
      <c r="K23" s="167"/>
      <c r="L23" s="167"/>
      <c r="M23" s="167"/>
      <c r="N23" s="167"/>
      <c r="O23" s="168"/>
      <c r="P23" s="163" t="s">
        <v>543</v>
      </c>
      <c r="Q23" s="164"/>
      <c r="R23" s="164"/>
      <c r="S23" s="164"/>
      <c r="T23" s="164"/>
      <c r="U23" s="165"/>
      <c r="V23" s="166" t="s">
        <v>478</v>
      </c>
      <c r="W23" s="167"/>
      <c r="X23" s="167"/>
      <c r="Y23" s="167"/>
      <c r="Z23" s="167"/>
      <c r="AA23" s="167"/>
      <c r="AB23" s="167"/>
      <c r="AC23" s="271"/>
      <c r="AF23" s="4" t="s">
        <v>21</v>
      </c>
      <c r="AG23" s="5"/>
      <c r="AH23" s="5"/>
      <c r="AI23" s="5"/>
      <c r="AJ23" s="5"/>
      <c r="AK23" s="5"/>
      <c r="AL23" s="5"/>
      <c r="AM23" s="5"/>
      <c r="AN23" s="5"/>
      <c r="AO23" s="6"/>
      <c r="AR23" s="7" t="s">
        <v>36</v>
      </c>
      <c r="AS23" s="8"/>
      <c r="AT23" s="8"/>
      <c r="AU23" s="8"/>
      <c r="AV23" s="8"/>
      <c r="AW23" s="8"/>
      <c r="AX23" s="8"/>
      <c r="AY23" s="8"/>
      <c r="AZ23" s="8"/>
      <c r="BA23" s="9"/>
      <c r="BC23" s="1">
        <v>1</v>
      </c>
      <c r="BD23" s="10" t="s">
        <v>549</v>
      </c>
      <c r="BE23" s="5"/>
      <c r="BF23" s="5"/>
      <c r="BG23" s="5"/>
      <c r="BH23" s="5"/>
      <c r="BI23" s="5"/>
      <c r="BJ23" s="5"/>
      <c r="BK23" s="5"/>
      <c r="BL23" s="5"/>
      <c r="BM23" s="6"/>
      <c r="BP23" s="237" t="s">
        <v>411</v>
      </c>
      <c r="BQ23" s="238"/>
      <c r="BR23" s="238"/>
      <c r="BS23" s="238"/>
      <c r="BT23" s="238"/>
      <c r="BU23" s="239"/>
      <c r="BV23" s="219">
        <f>IF(BV22&gt;210,210,IF(BV22&lt;20,20,BV22))</f>
        <v>20</v>
      </c>
      <c r="BW23" s="220"/>
      <c r="BX23" s="220"/>
      <c r="BY23" s="221"/>
      <c r="CB23" s="32" t="s">
        <v>437</v>
      </c>
      <c r="CC23" s="16" t="s">
        <v>429</v>
      </c>
      <c r="CD23" s="16" t="s">
        <v>445</v>
      </c>
      <c r="CE23" s="16" t="s">
        <v>444</v>
      </c>
      <c r="CF23" s="16" t="s">
        <v>341</v>
      </c>
      <c r="CG23" s="16" t="s">
        <v>443</v>
      </c>
      <c r="CH23" s="16" t="s">
        <v>442</v>
      </c>
      <c r="CI23" s="16" t="s">
        <v>564</v>
      </c>
      <c r="CJ23" s="16" t="s">
        <v>466</v>
      </c>
      <c r="CK23" s="69" t="s">
        <v>603</v>
      </c>
      <c r="CL23" s="16" t="s">
        <v>438</v>
      </c>
      <c r="CM23" s="16" t="s">
        <v>440</v>
      </c>
      <c r="CN23" s="16" t="s">
        <v>441</v>
      </c>
      <c r="CO23" s="16" t="s">
        <v>506</v>
      </c>
      <c r="CP23" s="69" t="s">
        <v>604</v>
      </c>
      <c r="CQ23" s="7" t="s">
        <v>439</v>
      </c>
      <c r="CR23" s="56">
        <f>IF(B56=CK23,1,IF(B56=CJ23,1,IF(B56=CL23,1,IF(B56=CN23,1,IF(B56=CM23,1,IF(B56=CO23,1,IF(B56=CP23,1,IF(B56=CQ23,1,IF(B56=CH23,1,IF(B56=CG23,1,IF(B56=CC23,2,IF(B56=CF23,2,IF(B56=CE23,2,IF(B56=CD23,2,IF(B56=CI23,3,0)))))))))))))))</f>
        <v>0</v>
      </c>
      <c r="CS23" s="16">
        <f>IF(B56=CJ23,2,IF(B56=CO23,2,IF(B56=CK23,2,IF(B56=CP23,2,IF(B56=CL23,1,IF(B56=CQ23,1,IF(B56=CM23,1,0)))))))</f>
        <v>0</v>
      </c>
      <c r="CT23" s="16">
        <f>IF(B56=CO23,1,IF(B56=CP23,1,IF(B56=CQ23,1,0)))</f>
        <v>0</v>
      </c>
      <c r="CU23" s="7">
        <f t="shared" si="2"/>
        <v>0</v>
      </c>
      <c r="CV23" s="54">
        <f>IF(CR23=3,1,0)</f>
        <v>0</v>
      </c>
      <c r="CZ23" s="32" t="s">
        <v>437</v>
      </c>
      <c r="DA23" s="16">
        <f>B56</f>
        <v>0</v>
      </c>
      <c r="DB23" s="16">
        <f>CS23</f>
        <v>0</v>
      </c>
      <c r="DC23" s="16">
        <f>CR23</f>
        <v>0</v>
      </c>
      <c r="DD23" s="16">
        <f>G56</f>
        <v>0</v>
      </c>
      <c r="DE23" s="16">
        <f>IF(J56="Bedarf",1,0)</f>
        <v>0</v>
      </c>
      <c r="DF23" s="33">
        <f>N56</f>
        <v>0</v>
      </c>
      <c r="DG23" s="33">
        <f>L56</f>
        <v>0</v>
      </c>
      <c r="DH23" s="16">
        <f>IF(CU23=1,0,IF(DC23,IF(DG23,0,VLOOKUP(DC23,$CI$86:$CK$88,$BD$25+1,FALSE)),0))</f>
        <v>0</v>
      </c>
      <c r="DI23" s="16">
        <f>IF(DC23=1,VLOOKUP(DC23,$CI$86:$CK$88,$BD$25+1,FALSE),0)</f>
        <v>0</v>
      </c>
      <c r="DJ23" s="94" t="e">
        <f>IF($DF$60&gt;0,DH23/SUM($DH$13:$DH$41)*IF(AND($V$28&gt;0,$BD$100=2),$DF$66,$DF$60),0)</f>
        <v>#DIV/0!</v>
      </c>
      <c r="DK23" s="33" t="e">
        <f>MAX(DG23,DH23/SUM($DH$13:$DH$41)*IF(AND($V$28&gt;0,$BD$100=2),$DF$67,$DF$61))</f>
        <v>#DIV/0!</v>
      </c>
      <c r="DL23" s="16" t="e">
        <f t="shared" si="4"/>
        <v>#DIV/0!</v>
      </c>
      <c r="DM23" s="34" t="e">
        <f>IF($DF$62&gt;0,DH23/SUM($DH$13:$DH$41)*IF(AND($V$28&gt;0,$BD$100=2),$DF$68,$DF$62),0)</f>
        <v>#REF!</v>
      </c>
      <c r="DN23" s="17" t="e">
        <f>MAX(DG23,DH23/SUM($DH$13:$DH$41)*IF(AND($V$28&gt;0,$BD$100=2),$DF$69,$DF$63))</f>
        <v>#DIV/0!</v>
      </c>
      <c r="DO23" s="32" t="e">
        <f t="shared" si="3"/>
        <v>#DIV/0!</v>
      </c>
      <c r="DT23" s="39"/>
      <c r="DU23" s="230"/>
      <c r="DV23" s="230"/>
      <c r="DW23" s="230"/>
      <c r="DX23" s="230"/>
      <c r="DY23" s="230"/>
      <c r="DZ23" s="230"/>
      <c r="EA23" s="230"/>
      <c r="EB23" s="230"/>
      <c r="EC23" s="230"/>
      <c r="ED23" s="230"/>
      <c r="EE23" s="230"/>
      <c r="EF23" s="230"/>
      <c r="EG23" s="230"/>
      <c r="EH23" s="230"/>
      <c r="EI23" s="230"/>
      <c r="EJ23" s="230"/>
      <c r="EK23" s="230"/>
      <c r="EL23" s="230"/>
      <c r="EM23" s="230"/>
      <c r="EN23" s="230"/>
      <c r="EO23" s="230"/>
      <c r="EP23" s="230"/>
      <c r="EQ23" s="230"/>
      <c r="ER23" s="230"/>
      <c r="ES23" s="230"/>
      <c r="ET23" s="230"/>
      <c r="EU23" s="230"/>
      <c r="EV23" s="230"/>
      <c r="EW23" s="230"/>
      <c r="EX23" s="230"/>
      <c r="EY23" s="230"/>
      <c r="EZ23" s="230"/>
      <c r="FA23" s="230"/>
      <c r="FB23" s="230"/>
      <c r="FD23" s="16">
        <v>14</v>
      </c>
      <c r="FE23" s="32">
        <f t="shared" si="0"/>
        <v>0</v>
      </c>
      <c r="FF23" s="16">
        <f>(COUNTIF(FE$10:$FE23,FE23)=1)+MAX(FF$10:FF22)</f>
        <v>1</v>
      </c>
      <c r="FG23" s="118">
        <f t="shared" si="1"/>
        <v>0</v>
      </c>
    </row>
    <row r="24" spans="2:163" ht="15" customHeight="1" thickBot="1" x14ac:dyDescent="0.25">
      <c r="B24" s="169" t="s">
        <v>544</v>
      </c>
      <c r="C24" s="164"/>
      <c r="D24" s="165"/>
      <c r="E24" s="268" t="str">
        <f>IF(BD14=2,"windstark","windschwach")</f>
        <v>windschwach</v>
      </c>
      <c r="F24" s="269"/>
      <c r="G24" s="269"/>
      <c r="H24" s="269"/>
      <c r="I24" s="269"/>
      <c r="J24" s="269"/>
      <c r="K24" s="269"/>
      <c r="L24" s="269"/>
      <c r="M24" s="269"/>
      <c r="N24" s="269"/>
      <c r="O24" s="270"/>
      <c r="P24" s="163" t="s">
        <v>545</v>
      </c>
      <c r="Q24" s="164"/>
      <c r="R24" s="164"/>
      <c r="S24" s="164"/>
      <c r="T24" s="164"/>
      <c r="U24" s="165"/>
      <c r="V24" s="166" t="s">
        <v>469</v>
      </c>
      <c r="W24" s="167"/>
      <c r="X24" s="167"/>
      <c r="Y24" s="167"/>
      <c r="Z24" s="167"/>
      <c r="AA24" s="167"/>
      <c r="AB24" s="167"/>
      <c r="AC24" s="271"/>
      <c r="AF24" s="4" t="s">
        <v>22</v>
      </c>
      <c r="AG24" s="5"/>
      <c r="AH24" s="5"/>
      <c r="AI24" s="5"/>
      <c r="AJ24" s="5"/>
      <c r="AK24" s="5"/>
      <c r="AL24" s="5"/>
      <c r="AM24" s="5"/>
      <c r="AN24" s="5"/>
      <c r="AO24" s="6"/>
      <c r="AR24" s="7" t="s">
        <v>39</v>
      </c>
      <c r="AS24" s="8"/>
      <c r="AT24" s="8"/>
      <c r="AU24" s="8"/>
      <c r="AV24" s="8"/>
      <c r="AW24" s="8"/>
      <c r="AX24" s="8"/>
      <c r="AY24" s="8"/>
      <c r="AZ24" s="8"/>
      <c r="BA24" s="9"/>
      <c r="BC24" s="12">
        <v>2</v>
      </c>
      <c r="BD24" s="10" t="s">
        <v>550</v>
      </c>
      <c r="BE24" s="5"/>
      <c r="BF24" s="5"/>
      <c r="BG24" s="5"/>
      <c r="BH24" s="5"/>
      <c r="BI24" s="5"/>
      <c r="BJ24" s="5"/>
      <c r="BK24" s="5"/>
      <c r="BL24" s="5"/>
      <c r="BM24" s="6"/>
      <c r="BP24" s="237" t="s">
        <v>412</v>
      </c>
      <c r="BQ24" s="238"/>
      <c r="BR24" s="238"/>
      <c r="BS24" s="238"/>
      <c r="BT24" s="238"/>
      <c r="BU24" s="239"/>
      <c r="BV24" s="219">
        <f>IF(BV22-210&gt;0,BV22-210,0)</f>
        <v>0</v>
      </c>
      <c r="BW24" s="220"/>
      <c r="BX24" s="220"/>
      <c r="BY24" s="221"/>
      <c r="CA24" s="13"/>
      <c r="CB24" s="32"/>
      <c r="CC24" s="16"/>
      <c r="CD24" s="16"/>
      <c r="CE24" s="16"/>
      <c r="CF24" s="16"/>
      <c r="CG24" s="16"/>
      <c r="CH24" s="16"/>
      <c r="CI24" s="16"/>
      <c r="CJ24" s="16"/>
      <c r="CK24" s="69"/>
      <c r="CL24" s="16"/>
      <c r="CM24" s="16"/>
      <c r="CN24" s="16"/>
      <c r="CO24" s="16"/>
      <c r="CP24" s="69"/>
      <c r="CQ24" s="7"/>
      <c r="CR24" s="56"/>
      <c r="CS24" s="16"/>
      <c r="CT24" s="16"/>
      <c r="CU24" s="7">
        <f t="shared" si="2"/>
        <v>0</v>
      </c>
      <c r="CV24" s="54"/>
      <c r="CZ24" s="32"/>
      <c r="DA24" s="16"/>
      <c r="DB24" s="16"/>
      <c r="DC24" s="16"/>
      <c r="DD24" s="16"/>
      <c r="DE24" s="16"/>
      <c r="DF24" s="33"/>
      <c r="DG24" s="33"/>
      <c r="DH24" s="16"/>
      <c r="DI24" s="16"/>
      <c r="DJ24" s="94"/>
      <c r="DK24" s="33"/>
      <c r="DL24" s="16">
        <f t="shared" si="4"/>
        <v>0</v>
      </c>
      <c r="DM24" s="34"/>
      <c r="DN24" s="17"/>
      <c r="DO24" s="32">
        <f t="shared" si="3"/>
        <v>0</v>
      </c>
      <c r="DT24" s="39"/>
      <c r="DU24" s="230"/>
      <c r="DV24" s="230"/>
      <c r="DW24" s="230"/>
      <c r="DX24" s="230"/>
      <c r="DY24" s="230"/>
      <c r="DZ24" s="230"/>
      <c r="EA24" s="230"/>
      <c r="EB24" s="230"/>
      <c r="EC24" s="230"/>
      <c r="ED24" s="230"/>
      <c r="EE24" s="230"/>
      <c r="EF24" s="230"/>
      <c r="EG24" s="230"/>
      <c r="EH24" s="230"/>
      <c r="EI24" s="230"/>
      <c r="EJ24" s="230"/>
      <c r="EK24" s="230"/>
      <c r="EL24" s="230"/>
      <c r="EM24" s="230"/>
      <c r="EN24" s="230"/>
      <c r="EO24" s="230"/>
      <c r="EP24" s="230"/>
      <c r="EQ24" s="230"/>
      <c r="ER24" s="230"/>
      <c r="ES24" s="230"/>
      <c r="ET24" s="230"/>
      <c r="EU24" s="230"/>
      <c r="EV24" s="230"/>
      <c r="EW24" s="230"/>
      <c r="EX24" s="230"/>
      <c r="EY24" s="230"/>
      <c r="EZ24" s="230"/>
      <c r="FA24" s="230"/>
      <c r="FB24" s="230"/>
      <c r="FD24" s="16">
        <v>15</v>
      </c>
      <c r="FE24" s="32">
        <f t="shared" si="0"/>
        <v>0</v>
      </c>
      <c r="FF24" s="16">
        <f>(COUNTIF(FE$10:$FE24,FE24)=1)+MAX(FF$10:FF23)</f>
        <v>1</v>
      </c>
      <c r="FG24" s="118">
        <f t="shared" si="1"/>
        <v>0</v>
      </c>
    </row>
    <row r="25" spans="2:163" ht="15" customHeight="1" thickBot="1" x14ac:dyDescent="0.25">
      <c r="B25" s="169" t="s">
        <v>2</v>
      </c>
      <c r="C25" s="164"/>
      <c r="D25" s="165"/>
      <c r="E25" s="166" t="s">
        <v>474</v>
      </c>
      <c r="F25" s="167"/>
      <c r="G25" s="167"/>
      <c r="H25" s="167"/>
      <c r="I25" s="167"/>
      <c r="J25" s="167"/>
      <c r="K25" s="167"/>
      <c r="L25" s="167"/>
      <c r="M25" s="167"/>
      <c r="N25" s="167"/>
      <c r="O25" s="168"/>
      <c r="P25" s="163" t="s">
        <v>546</v>
      </c>
      <c r="Q25" s="164"/>
      <c r="R25" s="164"/>
      <c r="S25" s="164"/>
      <c r="T25" s="164"/>
      <c r="U25" s="165"/>
      <c r="V25" s="161"/>
      <c r="W25" s="162"/>
      <c r="X25" s="162"/>
      <c r="Y25" s="122" t="s">
        <v>14</v>
      </c>
      <c r="Z25" s="170"/>
      <c r="AA25" s="170"/>
      <c r="AB25" s="170"/>
      <c r="AC25" s="171"/>
      <c r="AF25" s="4" t="s">
        <v>24</v>
      </c>
      <c r="AG25" s="5"/>
      <c r="AH25" s="5"/>
      <c r="AI25" s="5"/>
      <c r="AJ25" s="5"/>
      <c r="AK25" s="5"/>
      <c r="AL25" s="5"/>
      <c r="AM25" s="5"/>
      <c r="AN25" s="5"/>
      <c r="AO25" s="6"/>
      <c r="AR25" s="7" t="s">
        <v>40</v>
      </c>
      <c r="AS25" s="8"/>
      <c r="AT25" s="8"/>
      <c r="AU25" s="8"/>
      <c r="AV25" s="8"/>
      <c r="AW25" s="8"/>
      <c r="AX25" s="8"/>
      <c r="AY25" s="8"/>
      <c r="AZ25" s="8"/>
      <c r="BA25" s="9"/>
      <c r="BD25" s="219">
        <f>IF(E26=BD23,1,2)</f>
        <v>1</v>
      </c>
      <c r="BE25" s="220"/>
      <c r="BF25" s="220"/>
      <c r="BG25" s="220"/>
      <c r="BH25" s="220"/>
      <c r="BI25" s="220"/>
      <c r="BJ25" s="220"/>
      <c r="BK25" s="220"/>
      <c r="BL25" s="220"/>
      <c r="BM25" s="221"/>
      <c r="BP25" s="237" t="s">
        <v>510</v>
      </c>
      <c r="BQ25" s="238"/>
      <c r="BR25" s="238"/>
      <c r="BS25" s="238"/>
      <c r="BT25" s="238"/>
      <c r="BU25" s="239"/>
      <c r="BV25" s="234">
        <f>-0.002*BV23*BV23+1.15*BV23+11</f>
        <v>33.200000000000003</v>
      </c>
      <c r="BW25" s="235"/>
      <c r="BX25" s="235"/>
      <c r="BY25" s="236"/>
      <c r="CB25" s="32" t="s">
        <v>446</v>
      </c>
      <c r="CC25" s="16" t="s">
        <v>429</v>
      </c>
      <c r="CD25" s="16" t="s">
        <v>445</v>
      </c>
      <c r="CE25" s="16" t="s">
        <v>444</v>
      </c>
      <c r="CF25" s="16" t="s">
        <v>341</v>
      </c>
      <c r="CG25" s="16" t="s">
        <v>443</v>
      </c>
      <c r="CH25" s="16" t="s">
        <v>442</v>
      </c>
      <c r="CI25" s="16" t="s">
        <v>564</v>
      </c>
      <c r="CJ25" s="16" t="s">
        <v>466</v>
      </c>
      <c r="CK25" s="69" t="s">
        <v>603</v>
      </c>
      <c r="CL25" s="16" t="s">
        <v>438</v>
      </c>
      <c r="CM25" s="16" t="s">
        <v>440</v>
      </c>
      <c r="CN25" s="16" t="s">
        <v>441</v>
      </c>
      <c r="CO25" s="16" t="s">
        <v>506</v>
      </c>
      <c r="CP25" s="69" t="s">
        <v>604</v>
      </c>
      <c r="CQ25" s="7" t="s">
        <v>439</v>
      </c>
      <c r="CR25" s="56">
        <f>IF(B58=CK25,1,IF(B58=CJ25,1,IF(B58=CL25,1,IF(B58=CN25,1,IF(B58=CM25,1,IF(B58=CO25,1,IF(B58=CP25,1,IF(B58=CQ25,1,IF(B58=CH25,1,IF(B58=CG25,1,IF(B58=CC25,2,IF(B58=CF25,2,IF(B58=CE25,2,IF(B58=CD25,2,IF(B58=CI25,3,0)))))))))))))))</f>
        <v>0</v>
      </c>
      <c r="CS25" s="16">
        <f>IF(B58=CJ25,2,IF(B58=CO25,2,IF(B58=CK25,2,IF(B58=CP25,2,IF(B58=CL25,1,IF(B58=CQ25,1,IF(B58=CM25,1,0)))))))</f>
        <v>0</v>
      </c>
      <c r="CT25" s="16">
        <f>IF(B58=CO25,1,IF(B58=CP25,1,IF(B58=CQ25,1,0)))</f>
        <v>0</v>
      </c>
      <c r="CU25" s="7">
        <f t="shared" si="2"/>
        <v>0</v>
      </c>
      <c r="CV25" s="54">
        <f>IF(CR25=3,1,0)</f>
        <v>0</v>
      </c>
      <c r="CZ25" s="32" t="s">
        <v>446</v>
      </c>
      <c r="DA25" s="16">
        <f>B58</f>
        <v>0</v>
      </c>
      <c r="DB25" s="16">
        <f>CS25</f>
        <v>0</v>
      </c>
      <c r="DC25" s="16">
        <f>CR25</f>
        <v>0</v>
      </c>
      <c r="DD25" s="16">
        <f>G58</f>
        <v>0</v>
      </c>
      <c r="DE25" s="16">
        <f>IF(J58="Bedarf",1,0)</f>
        <v>0</v>
      </c>
      <c r="DF25" s="33">
        <f>N58</f>
        <v>0</v>
      </c>
      <c r="DG25" s="33">
        <f>L58</f>
        <v>0</v>
      </c>
      <c r="DH25" s="16">
        <f>IF(CU25=1,0,IF(DC25,IF(DG25,0,VLOOKUP(DC25,$CI$86:$CK$88,$BD$25+1,FALSE)),0))</f>
        <v>0</v>
      </c>
      <c r="DI25" s="16">
        <f>IF(DC25=1,VLOOKUP(DC25,$CI$86:$CK$88,$BD$25+1,FALSE),0)</f>
        <v>0</v>
      </c>
      <c r="DJ25" s="94" t="e">
        <f>IF($DF$60&gt;0,DH25/SUM($DH$13:$DH$41)*IF(AND($V$28&gt;0,$BD$100=2),$DF$66,$DF$60),0)</f>
        <v>#DIV/0!</v>
      </c>
      <c r="DK25" s="33" t="e">
        <f>MAX(DG25,DH25/SUM($DH$13:$DH$41)*IF(AND($V$28&gt;0,$BD$100=2),$DF$67,$DF$61))</f>
        <v>#DIV/0!</v>
      </c>
      <c r="DL25" s="16" t="e">
        <f t="shared" si="4"/>
        <v>#DIV/0!</v>
      </c>
      <c r="DM25" s="34" t="e">
        <f>IF($DF$62&gt;0,DH25/SUM($DH$13:$DH$41)*IF(AND($V$28&gt;0,$BD$100=2),$DF$68,$DF$62),0)</f>
        <v>#REF!</v>
      </c>
      <c r="DN25" s="17" t="e">
        <f>MAX(DG25,DH25/SUM($DH$13:$DH$41)*IF(AND($V$28&gt;0,$BD$100=2),$DF$69,$DF$63))</f>
        <v>#DIV/0!</v>
      </c>
      <c r="DO25" s="32" t="e">
        <f t="shared" si="3"/>
        <v>#DIV/0!</v>
      </c>
      <c r="DT25" s="39" t="s">
        <v>625</v>
      </c>
      <c r="DU25" s="28" t="s">
        <v>615</v>
      </c>
      <c r="FD25" s="16">
        <v>16</v>
      </c>
      <c r="FE25" s="32">
        <f t="shared" si="0"/>
        <v>0</v>
      </c>
      <c r="FF25" s="16">
        <f>(COUNTIF(FE$10:$FE25,FE25)=1)+MAX(FF$10:FF24)</f>
        <v>1</v>
      </c>
      <c r="FG25" s="118">
        <f t="shared" si="1"/>
        <v>0</v>
      </c>
    </row>
    <row r="26" spans="2:163" ht="15" customHeight="1" thickBot="1" x14ac:dyDescent="0.25">
      <c r="B26" s="169" t="s">
        <v>5</v>
      </c>
      <c r="C26" s="164"/>
      <c r="D26" s="165"/>
      <c r="E26" s="166" t="s">
        <v>549</v>
      </c>
      <c r="F26" s="167"/>
      <c r="G26" s="167"/>
      <c r="H26" s="167"/>
      <c r="I26" s="167"/>
      <c r="J26" s="167"/>
      <c r="K26" s="167"/>
      <c r="L26" s="167"/>
      <c r="M26" s="167"/>
      <c r="N26" s="167"/>
      <c r="O26" s="168"/>
      <c r="P26" s="163" t="s">
        <v>403</v>
      </c>
      <c r="Q26" s="165"/>
      <c r="R26" s="166" t="s">
        <v>404</v>
      </c>
      <c r="S26" s="167"/>
      <c r="T26" s="167"/>
      <c r="U26" s="167"/>
      <c r="V26" s="167"/>
      <c r="W26" s="167"/>
      <c r="X26" s="167"/>
      <c r="Y26" s="167"/>
      <c r="Z26" s="167"/>
      <c r="AA26" s="167"/>
      <c r="AB26" s="167"/>
      <c r="AC26" s="271"/>
      <c r="AF26" s="4" t="s">
        <v>25</v>
      </c>
      <c r="AG26" s="5"/>
      <c r="AH26" s="5"/>
      <c r="AI26" s="5"/>
      <c r="AJ26" s="5"/>
      <c r="AK26" s="5"/>
      <c r="AL26" s="5"/>
      <c r="AM26" s="5"/>
      <c r="AN26" s="5"/>
      <c r="AO26" s="6"/>
      <c r="AR26" s="7" t="s">
        <v>42</v>
      </c>
      <c r="AS26" s="8"/>
      <c r="AT26" s="8"/>
      <c r="AU26" s="8"/>
      <c r="AV26" s="8"/>
      <c r="AW26" s="8"/>
      <c r="AX26" s="8"/>
      <c r="AY26" s="8"/>
      <c r="AZ26" s="8"/>
      <c r="BA26" s="9"/>
      <c r="BD26" s="14"/>
      <c r="BE26" s="14"/>
      <c r="BF26" s="14"/>
      <c r="BG26" s="14"/>
      <c r="BH26" s="14"/>
      <c r="BI26" s="14"/>
      <c r="BJ26" s="14"/>
      <c r="BK26" s="14"/>
      <c r="BL26" s="14"/>
      <c r="BM26" s="14"/>
      <c r="BP26" s="237" t="s">
        <v>511</v>
      </c>
      <c r="BQ26" s="238"/>
      <c r="BR26" s="238"/>
      <c r="BS26" s="238"/>
      <c r="BT26" s="238"/>
      <c r="BU26" s="239"/>
      <c r="BV26" s="322">
        <f>IF(BV22&gt;210,(BV22-210)*4/10,0)</f>
        <v>0</v>
      </c>
      <c r="BW26" s="323"/>
      <c r="BX26" s="323"/>
      <c r="BY26" s="324"/>
      <c r="CB26" s="32"/>
      <c r="CC26" s="16"/>
      <c r="CD26" s="16"/>
      <c r="CE26" s="16"/>
      <c r="CF26" s="16"/>
      <c r="CG26" s="16"/>
      <c r="CH26" s="16"/>
      <c r="CI26" s="16"/>
      <c r="CJ26" s="16"/>
      <c r="CK26" s="69"/>
      <c r="CL26" s="16"/>
      <c r="CM26" s="16"/>
      <c r="CN26" s="16"/>
      <c r="CO26" s="16"/>
      <c r="CP26" s="69"/>
      <c r="CQ26" s="7"/>
      <c r="CR26" s="56"/>
      <c r="CS26" s="16"/>
      <c r="CT26" s="16"/>
      <c r="CU26" s="7">
        <f t="shared" si="2"/>
        <v>0</v>
      </c>
      <c r="CV26" s="54"/>
      <c r="CZ26" s="32"/>
      <c r="DA26" s="16"/>
      <c r="DB26" s="16"/>
      <c r="DC26" s="16"/>
      <c r="DD26" s="16"/>
      <c r="DE26" s="16"/>
      <c r="DF26" s="33"/>
      <c r="DG26" s="33"/>
      <c r="DH26" s="16"/>
      <c r="DI26" s="16"/>
      <c r="DJ26" s="94"/>
      <c r="DK26" s="33"/>
      <c r="DL26" s="16">
        <f t="shared" si="4"/>
        <v>0</v>
      </c>
      <c r="DM26" s="34"/>
      <c r="DN26" s="17"/>
      <c r="DO26" s="32">
        <f t="shared" si="3"/>
        <v>0</v>
      </c>
      <c r="DU26" s="28"/>
      <c r="FD26" s="16">
        <v>17</v>
      </c>
      <c r="FE26" s="32">
        <f t="shared" si="0"/>
        <v>0</v>
      </c>
      <c r="FF26" s="16">
        <f>(COUNTIF(FE$10:$FE26,FE26)=1)+MAX(FF$10:FF25)</f>
        <v>1</v>
      </c>
      <c r="FG26" s="118">
        <f t="shared" si="1"/>
        <v>0</v>
      </c>
    </row>
    <row r="27" spans="2:163" ht="15" customHeight="1" thickBot="1" x14ac:dyDescent="0.25">
      <c r="B27" s="169" t="s">
        <v>547</v>
      </c>
      <c r="C27" s="164"/>
      <c r="D27" s="165"/>
      <c r="E27" s="166" t="s">
        <v>685</v>
      </c>
      <c r="F27" s="167"/>
      <c r="G27" s="167"/>
      <c r="H27" s="167"/>
      <c r="I27" s="167"/>
      <c r="J27" s="167"/>
      <c r="K27" s="167"/>
      <c r="L27" s="167"/>
      <c r="M27" s="167"/>
      <c r="N27" s="167"/>
      <c r="O27" s="168"/>
      <c r="P27" s="163" t="s">
        <v>548</v>
      </c>
      <c r="Q27" s="164"/>
      <c r="R27" s="164"/>
      <c r="S27" s="164"/>
      <c r="T27" s="164"/>
      <c r="U27" s="165"/>
      <c r="V27" s="161">
        <v>0</v>
      </c>
      <c r="W27" s="162"/>
      <c r="X27" s="162"/>
      <c r="Y27" s="122" t="s">
        <v>456</v>
      </c>
      <c r="Z27" s="170"/>
      <c r="AA27" s="170"/>
      <c r="AB27" s="170"/>
      <c r="AC27" s="171"/>
      <c r="AF27" s="4" t="s">
        <v>26</v>
      </c>
      <c r="AG27" s="5"/>
      <c r="AH27" s="5"/>
      <c r="AI27" s="5"/>
      <c r="AJ27" s="5"/>
      <c r="AK27" s="5"/>
      <c r="AL27" s="5"/>
      <c r="AM27" s="5"/>
      <c r="AN27" s="5"/>
      <c r="AO27" s="6"/>
      <c r="AR27" s="7" t="s">
        <v>44</v>
      </c>
      <c r="AS27" s="8"/>
      <c r="AT27" s="8"/>
      <c r="AU27" s="8"/>
      <c r="AV27" s="8"/>
      <c r="AW27" s="8"/>
      <c r="AX27" s="8"/>
      <c r="AY27" s="8"/>
      <c r="AZ27" s="8"/>
      <c r="BA27" s="9"/>
      <c r="BD27" s="227" t="s">
        <v>19</v>
      </c>
      <c r="BE27" s="228"/>
      <c r="BF27" s="228"/>
      <c r="BG27" s="228"/>
      <c r="BH27" s="228"/>
      <c r="BI27" s="228"/>
      <c r="BJ27" s="228"/>
      <c r="BK27" s="228"/>
      <c r="BL27" s="228"/>
      <c r="BM27" s="229"/>
      <c r="BP27" s="237" t="s">
        <v>512</v>
      </c>
      <c r="BQ27" s="238"/>
      <c r="BR27" s="238"/>
      <c r="BS27" s="238"/>
      <c r="BT27" s="238"/>
      <c r="BU27" s="239"/>
      <c r="BV27" s="240">
        <f>SUM(BV25:BY26)</f>
        <v>33.200000000000003</v>
      </c>
      <c r="BW27" s="241"/>
      <c r="BX27" s="241"/>
      <c r="BY27" s="242"/>
      <c r="CB27" s="32" t="s">
        <v>447</v>
      </c>
      <c r="CC27" s="16" t="s">
        <v>429</v>
      </c>
      <c r="CD27" s="16" t="s">
        <v>445</v>
      </c>
      <c r="CE27" s="16" t="s">
        <v>444</v>
      </c>
      <c r="CF27" s="16" t="s">
        <v>341</v>
      </c>
      <c r="CG27" s="16" t="s">
        <v>443</v>
      </c>
      <c r="CH27" s="16" t="s">
        <v>442</v>
      </c>
      <c r="CI27" s="16" t="s">
        <v>564</v>
      </c>
      <c r="CJ27" s="16" t="s">
        <v>466</v>
      </c>
      <c r="CK27" s="69" t="s">
        <v>603</v>
      </c>
      <c r="CL27" s="16" t="s">
        <v>438</v>
      </c>
      <c r="CM27" s="16" t="s">
        <v>440</v>
      </c>
      <c r="CN27" s="16" t="s">
        <v>441</v>
      </c>
      <c r="CO27" s="16" t="s">
        <v>506</v>
      </c>
      <c r="CP27" s="69" t="s">
        <v>604</v>
      </c>
      <c r="CQ27" s="7" t="s">
        <v>439</v>
      </c>
      <c r="CR27" s="56">
        <f>IF(B60=CK27,1,IF(B60=CJ27,1,IF(B60=CL27,1,IF(B60=CN27,1,IF(B60=CM27,1,IF(B60=CO27,1,IF(B60=CP27,1,IF(B60=CQ27,1,IF(B60=CH27,1,IF(B60=CG27,1,IF(B60=CC27,2,IF(B60=CF27,2,IF(B60=CE27,2,IF(B60=CD27,2,IF(B60=CI27,3,0)))))))))))))))</f>
        <v>0</v>
      </c>
      <c r="CS27" s="16">
        <f>IF(B60=CJ27,2,IF(B60=CO27,2,IF(B60=CK27,2,IF(B60=CP27,2,IF(B60=CL27,1,IF(B60=CQ27,1,IF(B60=CM27,1,0)))))))</f>
        <v>0</v>
      </c>
      <c r="CT27" s="16">
        <f>IF(B60=CO27,1,IF(B60=CP27,1,IF(B60=CQ27,1,0)))</f>
        <v>0</v>
      </c>
      <c r="CU27" s="7">
        <f t="shared" si="2"/>
        <v>0</v>
      </c>
      <c r="CV27" s="54">
        <f>IF(CR27=3,1,0)</f>
        <v>0</v>
      </c>
      <c r="CZ27" s="32" t="s">
        <v>447</v>
      </c>
      <c r="DA27" s="16">
        <f>B60</f>
        <v>0</v>
      </c>
      <c r="DB27" s="16">
        <f>CS27</f>
        <v>0</v>
      </c>
      <c r="DC27" s="16">
        <f>CR27</f>
        <v>0</v>
      </c>
      <c r="DD27" s="16">
        <f>G60</f>
        <v>0</v>
      </c>
      <c r="DE27" s="16">
        <f>IF(J60="Bedarf",1,0)</f>
        <v>0</v>
      </c>
      <c r="DF27" s="33">
        <f>N60</f>
        <v>0</v>
      </c>
      <c r="DG27" s="33">
        <f>L60</f>
        <v>0</v>
      </c>
      <c r="DH27" s="16">
        <f>IF(CU27=1,0,IF(DC27,IF(DG27,0,VLOOKUP(DC27,$CI$86:$CK$88,$BD$25+1,FALSE)),0))</f>
        <v>0</v>
      </c>
      <c r="DI27" s="16">
        <f>IF(DC27=1,VLOOKUP(DC27,$CI$86:$CK$88,$BD$25+1,FALSE),0)</f>
        <v>0</v>
      </c>
      <c r="DJ27" s="94" t="e">
        <f>IF($DF$60&gt;0,DH27/SUM($DH$13:$DH$41)*IF(AND($V$28&gt;0,$BD$100=2),$DF$66,$DF$60),0)</f>
        <v>#DIV/0!</v>
      </c>
      <c r="DK27" s="33" t="e">
        <f>MAX(DG27,DH27/SUM($DH$13:$DH$41)*IF(AND($V$28&gt;0,$BD$100=2),$DF$67,$DF$61))</f>
        <v>#DIV/0!</v>
      </c>
      <c r="DL27" s="16" t="e">
        <f t="shared" si="4"/>
        <v>#DIV/0!</v>
      </c>
      <c r="DM27" s="34" t="e">
        <f>IF($DF$62&gt;0,DH27/SUM($DH$13:$DH$41)*IF(AND($V$28&gt;0,$BD$100=2),$DF$68,$DF$62),0)</f>
        <v>#REF!</v>
      </c>
      <c r="DN27" s="17" t="e">
        <f>MAX(DG27,DH27/SUM($DH$13:$DH$41)*IF(AND($V$28&gt;0,$BD$100=2),$DF$69,$DF$63))</f>
        <v>#DIV/0!</v>
      </c>
      <c r="DO27" s="32" t="e">
        <f t="shared" si="3"/>
        <v>#DIV/0!</v>
      </c>
      <c r="DU27" s="28"/>
      <c r="FD27" s="16">
        <v>18</v>
      </c>
      <c r="FE27" s="32">
        <f t="shared" si="0"/>
        <v>0</v>
      </c>
      <c r="FF27" s="16">
        <f>(COUNTIF(FE$10:$FE27,FE27)=1)+MAX(FF$10:FF26)</f>
        <v>1</v>
      </c>
      <c r="FG27" s="118">
        <f t="shared" si="1"/>
        <v>0</v>
      </c>
    </row>
    <row r="28" spans="2:163" ht="15" customHeight="1" thickBot="1" x14ac:dyDescent="0.25">
      <c r="B28" s="169" t="s">
        <v>688</v>
      </c>
      <c r="C28" s="164"/>
      <c r="D28" s="164"/>
      <c r="E28" s="164"/>
      <c r="F28" s="164"/>
      <c r="G28" s="164"/>
      <c r="H28" s="164"/>
      <c r="I28" s="164"/>
      <c r="J28" s="164"/>
      <c r="K28" s="164"/>
      <c r="L28" s="165"/>
      <c r="M28" s="123"/>
      <c r="N28" s="124" t="s">
        <v>414</v>
      </c>
      <c r="O28" s="125"/>
      <c r="P28" s="126" t="s">
        <v>555</v>
      </c>
      <c r="Q28" s="127"/>
      <c r="R28" s="127"/>
      <c r="S28" s="127"/>
      <c r="T28" s="127"/>
      <c r="U28" s="127"/>
      <c r="V28" s="161">
        <v>0</v>
      </c>
      <c r="W28" s="162"/>
      <c r="X28" s="162"/>
      <c r="Y28" s="122" t="s">
        <v>14</v>
      </c>
      <c r="Z28" s="272"/>
      <c r="AA28" s="272"/>
      <c r="AB28" s="272"/>
      <c r="AC28" s="273"/>
      <c r="AF28" s="4" t="s">
        <v>27</v>
      </c>
      <c r="AG28" s="5"/>
      <c r="AH28" s="5"/>
      <c r="AI28" s="5"/>
      <c r="AJ28" s="5"/>
      <c r="AK28" s="5"/>
      <c r="AL28" s="5"/>
      <c r="AM28" s="5"/>
      <c r="AN28" s="5"/>
      <c r="AO28" s="6"/>
      <c r="AR28" s="7" t="s">
        <v>46</v>
      </c>
      <c r="AS28" s="8"/>
      <c r="AT28" s="8"/>
      <c r="AU28" s="8"/>
      <c r="AV28" s="8"/>
      <c r="AW28" s="8"/>
      <c r="AX28" s="8"/>
      <c r="AY28" s="8"/>
      <c r="AZ28" s="8"/>
      <c r="BA28" s="9"/>
      <c r="BC28" s="1">
        <v>1</v>
      </c>
      <c r="BD28" s="4" t="s">
        <v>551</v>
      </c>
      <c r="BE28" s="5"/>
      <c r="BF28" s="5"/>
      <c r="BG28" s="5"/>
      <c r="BH28" s="5"/>
      <c r="BI28" s="5"/>
      <c r="BJ28" s="5"/>
      <c r="BK28" s="5"/>
      <c r="BL28" s="5"/>
      <c r="BM28" s="6"/>
      <c r="CB28" s="32"/>
      <c r="CC28" s="16"/>
      <c r="CD28" s="16"/>
      <c r="CE28" s="16"/>
      <c r="CF28" s="16"/>
      <c r="CG28" s="16"/>
      <c r="CH28" s="16"/>
      <c r="CI28" s="16"/>
      <c r="CJ28" s="16"/>
      <c r="CK28" s="69"/>
      <c r="CL28" s="16"/>
      <c r="CM28" s="16"/>
      <c r="CN28" s="16"/>
      <c r="CO28" s="16"/>
      <c r="CP28" s="69"/>
      <c r="CQ28" s="7"/>
      <c r="CR28" s="56"/>
      <c r="CS28" s="16"/>
      <c r="CT28" s="16"/>
      <c r="CU28" s="7">
        <f t="shared" si="2"/>
        <v>0</v>
      </c>
      <c r="CV28" s="54"/>
      <c r="CZ28" s="32"/>
      <c r="DA28" s="16"/>
      <c r="DB28" s="16"/>
      <c r="DC28" s="16"/>
      <c r="DD28" s="16"/>
      <c r="DE28" s="16"/>
      <c r="DF28" s="33"/>
      <c r="DG28" s="33"/>
      <c r="DH28" s="16"/>
      <c r="DI28" s="16"/>
      <c r="DJ28" s="94"/>
      <c r="DK28" s="33"/>
      <c r="DL28" s="16">
        <f t="shared" si="4"/>
        <v>0</v>
      </c>
      <c r="DM28" s="34"/>
      <c r="DN28" s="17"/>
      <c r="DO28" s="32">
        <f t="shared" si="3"/>
        <v>0</v>
      </c>
      <c r="DU28" s="28"/>
      <c r="FD28" s="16">
        <v>19</v>
      </c>
      <c r="FE28" s="32">
        <f t="shared" si="0"/>
        <v>0</v>
      </c>
      <c r="FF28" s="16">
        <f>(COUNTIF(FE$10:$FE28,FE28)=1)+MAX(FF$10:FF27)</f>
        <v>1</v>
      </c>
      <c r="FG28" s="118">
        <f t="shared" si="1"/>
        <v>0</v>
      </c>
    </row>
    <row r="29" spans="2:163" ht="15" customHeight="1" thickBot="1" x14ac:dyDescent="0.25">
      <c r="B29" s="158" t="s">
        <v>680</v>
      </c>
      <c r="C29" s="159"/>
      <c r="D29" s="159"/>
      <c r="E29" s="159"/>
      <c r="F29" s="159"/>
      <c r="G29" s="160"/>
      <c r="H29" s="154" t="s">
        <v>646</v>
      </c>
      <c r="I29" s="155"/>
      <c r="J29" s="155"/>
      <c r="K29" s="155"/>
      <c r="L29" s="155"/>
      <c r="M29" s="155"/>
      <c r="N29" s="155"/>
      <c r="O29" s="157"/>
      <c r="P29" s="172" t="s">
        <v>606</v>
      </c>
      <c r="Q29" s="159"/>
      <c r="R29" s="159"/>
      <c r="S29" s="159"/>
      <c r="T29" s="159"/>
      <c r="U29" s="160"/>
      <c r="V29" s="154"/>
      <c r="W29" s="155"/>
      <c r="X29" s="155"/>
      <c r="Y29" s="155"/>
      <c r="Z29" s="155"/>
      <c r="AA29" s="155"/>
      <c r="AB29" s="155"/>
      <c r="AC29" s="156"/>
      <c r="AF29" s="4" t="s">
        <v>28</v>
      </c>
      <c r="AG29" s="5"/>
      <c r="AH29" s="5"/>
      <c r="AI29" s="5"/>
      <c r="AJ29" s="5"/>
      <c r="AK29" s="5"/>
      <c r="AL29" s="5"/>
      <c r="AM29" s="5"/>
      <c r="AN29" s="5"/>
      <c r="AO29" s="6"/>
      <c r="AR29" s="7" t="s">
        <v>47</v>
      </c>
      <c r="AS29" s="8"/>
      <c r="AT29" s="8"/>
      <c r="AU29" s="8"/>
      <c r="AV29" s="8"/>
      <c r="AW29" s="8"/>
      <c r="AX29" s="8"/>
      <c r="AY29" s="8"/>
      <c r="AZ29" s="8"/>
      <c r="BA29" s="9"/>
      <c r="BC29" s="1">
        <v>2</v>
      </c>
      <c r="BD29" s="4" t="s">
        <v>552</v>
      </c>
      <c r="BE29" s="5"/>
      <c r="BF29" s="5"/>
      <c r="BG29" s="5"/>
      <c r="BH29" s="5"/>
      <c r="BI29" s="5"/>
      <c r="BJ29" s="5"/>
      <c r="BK29" s="5"/>
      <c r="BL29" s="5"/>
      <c r="BM29" s="6"/>
      <c r="BP29" s="222" t="s">
        <v>520</v>
      </c>
      <c r="BQ29" s="223"/>
      <c r="BR29" s="223"/>
      <c r="BS29" s="223"/>
      <c r="BT29" s="223"/>
      <c r="BU29" s="223"/>
      <c r="BV29" s="223"/>
      <c r="BW29" s="223"/>
      <c r="BX29" s="223"/>
      <c r="BY29" s="224"/>
      <c r="CB29" s="32" t="s">
        <v>448</v>
      </c>
      <c r="CC29" s="16" t="s">
        <v>429</v>
      </c>
      <c r="CD29" s="16" t="s">
        <v>445</v>
      </c>
      <c r="CE29" s="16" t="s">
        <v>444</v>
      </c>
      <c r="CF29" s="16" t="s">
        <v>341</v>
      </c>
      <c r="CG29" s="16" t="s">
        <v>443</v>
      </c>
      <c r="CH29" s="16" t="s">
        <v>442</v>
      </c>
      <c r="CI29" s="16" t="s">
        <v>564</v>
      </c>
      <c r="CJ29" s="16" t="s">
        <v>466</v>
      </c>
      <c r="CK29" s="69" t="s">
        <v>603</v>
      </c>
      <c r="CL29" s="16" t="s">
        <v>438</v>
      </c>
      <c r="CM29" s="16" t="s">
        <v>440</v>
      </c>
      <c r="CN29" s="16" t="s">
        <v>441</v>
      </c>
      <c r="CO29" s="16" t="s">
        <v>506</v>
      </c>
      <c r="CP29" s="69" t="s">
        <v>604</v>
      </c>
      <c r="CQ29" s="7" t="s">
        <v>439</v>
      </c>
      <c r="CR29" s="56">
        <f>IF(B62=CK29,1,IF(B62=CJ29,1,IF(B62=CL29,1,IF(B62=CN29,1,IF(B62=CM29,1,IF(B62=CO29,1,IF(B62=CP29,1,IF(B62=CQ29,1,IF(B62=CH29,1,IF(B62=CG29,1,IF(B62=CC29,2,IF(B62=CF29,2,IF(B62=CE29,2,IF(B62=CD29,2,IF(B62=CI29,3,0)))))))))))))))</f>
        <v>0</v>
      </c>
      <c r="CS29" s="16">
        <f>IF(B62=CJ29,2,IF(B62=CO29,2,IF(B62=CK29,2,IF(B62=CP29,2,IF(B62=CL29,1,IF(B62=CQ29,1,IF(B62=CM29,1,0)))))))</f>
        <v>0</v>
      </c>
      <c r="CT29" s="16">
        <f>IF(B62=CO29,1,IF(B62=CP29,1,IF(B62=CQ29,1,0)))</f>
        <v>0</v>
      </c>
      <c r="CU29" s="7">
        <f t="shared" si="2"/>
        <v>0</v>
      </c>
      <c r="CV29" s="54">
        <f>IF(CR29=3,1,0)</f>
        <v>0</v>
      </c>
      <c r="CZ29" s="32" t="s">
        <v>448</v>
      </c>
      <c r="DA29" s="16">
        <f>B62</f>
        <v>0</v>
      </c>
      <c r="DB29" s="16">
        <f>CS29</f>
        <v>0</v>
      </c>
      <c r="DC29" s="16">
        <f>CR29</f>
        <v>0</v>
      </c>
      <c r="DD29" s="16">
        <f>G62</f>
        <v>0</v>
      </c>
      <c r="DE29" s="16">
        <f>IF(J62="Bedarf",1,0)</f>
        <v>0</v>
      </c>
      <c r="DF29" s="33">
        <f>N62</f>
        <v>0</v>
      </c>
      <c r="DG29" s="33">
        <f>L62</f>
        <v>0</v>
      </c>
      <c r="DH29" s="16">
        <f>IF(CU29=1,0,IF(DC29,IF(DG29,0,VLOOKUP(DC29,$CI$86:$CK$88,$BD$25+1,FALSE)),0))</f>
        <v>0</v>
      </c>
      <c r="DI29" s="16">
        <f>IF(DC29=1,VLOOKUP(DC29,$CI$86:$CK$88,$BD$25+1,FALSE),0)</f>
        <v>0</v>
      </c>
      <c r="DJ29" s="94" t="e">
        <f>IF($DF$60&gt;0,DH29/SUM($DH$13:$DH$41)*IF(AND($V$28&gt;0,$BD$100=2),$DF$66,$DF$60),0)</f>
        <v>#DIV/0!</v>
      </c>
      <c r="DK29" s="33" t="e">
        <f>MAX(DG29,DH29/SUM($DH$13:$DH$41)*IF(AND($V$28&gt;0,$BD$100=2),$DF$67,$DF$61))</f>
        <v>#DIV/0!</v>
      </c>
      <c r="DL29" s="16" t="e">
        <f t="shared" si="4"/>
        <v>#DIV/0!</v>
      </c>
      <c r="DM29" s="34" t="e">
        <f>IF($DF$62&gt;0,DH29/SUM($DH$13:$DH$41)*IF(AND($V$28&gt;0,$BD$100=2),$DF$68,$DF$62),0)</f>
        <v>#REF!</v>
      </c>
      <c r="DN29" s="17" t="e">
        <f>MAX(DG29,DH29/SUM($DH$13:$DH$41)*IF(AND($V$28&gt;0,$BD$100=2),$DF$69,$DF$63))</f>
        <v>#DIV/0!</v>
      </c>
      <c r="DO29" s="32" t="e">
        <f t="shared" si="3"/>
        <v>#DIV/0!</v>
      </c>
      <c r="DU29" s="231" t="s">
        <v>578</v>
      </c>
      <c r="DV29" s="232"/>
      <c r="DW29" s="232"/>
      <c r="DX29" s="232"/>
      <c r="DY29" s="232"/>
      <c r="DZ29" s="232"/>
      <c r="EA29" s="232"/>
      <c r="EB29" s="232"/>
      <c r="EC29" s="232"/>
      <c r="ED29" s="232"/>
      <c r="EE29" s="232"/>
      <c r="EF29" s="232"/>
      <c r="EG29" s="232"/>
      <c r="EH29" s="232"/>
      <c r="EI29" s="232"/>
      <c r="EJ29" s="232"/>
      <c r="EK29" s="232"/>
      <c r="EL29" s="232"/>
      <c r="EM29" s="232"/>
      <c r="EN29" s="232"/>
      <c r="EO29" s="233"/>
      <c r="EQ29" s="259" t="s">
        <v>644</v>
      </c>
      <c r="ER29" s="260"/>
      <c r="ES29" s="260"/>
      <c r="ET29" s="260"/>
      <c r="EU29" s="260"/>
      <c r="EV29" s="260"/>
      <c r="EW29" s="260"/>
      <c r="FD29" s="16">
        <v>20</v>
      </c>
      <c r="FE29" s="32">
        <f t="shared" si="0"/>
        <v>0</v>
      </c>
      <c r="FF29" s="16">
        <f>(COUNTIF(FE$10:$FE29,FE29)=1)+MAX(FF$10:FF28)</f>
        <v>1</v>
      </c>
      <c r="FG29" s="118">
        <f t="shared" si="1"/>
        <v>0</v>
      </c>
    </row>
    <row r="30" spans="2:163" ht="15" customHeight="1" thickBot="1" x14ac:dyDescent="0.25">
      <c r="B30" s="151" t="s">
        <v>342</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3"/>
      <c r="AF30" s="4" t="s">
        <v>29</v>
      </c>
      <c r="AG30" s="5"/>
      <c r="AH30" s="5"/>
      <c r="AI30" s="5"/>
      <c r="AJ30" s="5"/>
      <c r="AK30" s="5"/>
      <c r="AL30" s="5"/>
      <c r="AM30" s="5"/>
      <c r="AN30" s="5"/>
      <c r="AO30" s="6"/>
      <c r="AQ30" s="2"/>
      <c r="AR30" s="7" t="s">
        <v>50</v>
      </c>
      <c r="AS30" s="8"/>
      <c r="AT30" s="8"/>
      <c r="AU30" s="8"/>
      <c r="AV30" s="8"/>
      <c r="AW30" s="8"/>
      <c r="AX30" s="8"/>
      <c r="AY30" s="8"/>
      <c r="AZ30" s="8"/>
      <c r="BA30" s="9"/>
      <c r="BD30" s="219">
        <f>IF(E27=BD28,1,2)</f>
        <v>1</v>
      </c>
      <c r="BE30" s="220"/>
      <c r="BF30" s="220"/>
      <c r="BG30" s="220"/>
      <c r="BH30" s="220"/>
      <c r="BI30" s="220"/>
      <c r="BJ30" s="220"/>
      <c r="BK30" s="220"/>
      <c r="BL30" s="220"/>
      <c r="BM30" s="221"/>
      <c r="BO30" s="15">
        <v>1</v>
      </c>
      <c r="BP30" s="7" t="s">
        <v>521</v>
      </c>
      <c r="BQ30" s="8"/>
      <c r="BR30" s="8"/>
      <c r="BS30" s="8"/>
      <c r="BT30" s="8"/>
      <c r="BU30" s="8"/>
      <c r="BV30" s="8"/>
      <c r="BW30" s="8"/>
      <c r="BX30" s="225">
        <f>BV27*BP14</f>
        <v>9.9600000000000009</v>
      </c>
      <c r="BY30" s="226"/>
      <c r="CB30" s="32"/>
      <c r="CC30" s="16"/>
      <c r="CD30" s="16"/>
      <c r="CE30" s="16"/>
      <c r="CF30" s="16"/>
      <c r="CG30" s="16"/>
      <c r="CH30" s="16"/>
      <c r="CI30" s="16"/>
      <c r="CJ30" s="16"/>
      <c r="CK30" s="69"/>
      <c r="CL30" s="16"/>
      <c r="CM30" s="16"/>
      <c r="CN30" s="16"/>
      <c r="CO30" s="16"/>
      <c r="CP30" s="69"/>
      <c r="CQ30" s="7"/>
      <c r="CR30" s="56"/>
      <c r="CS30" s="16"/>
      <c r="CT30" s="16"/>
      <c r="CU30" s="7">
        <f t="shared" si="2"/>
        <v>0</v>
      </c>
      <c r="CV30" s="54"/>
      <c r="CZ30" s="32"/>
      <c r="DA30" s="16"/>
      <c r="DB30" s="16"/>
      <c r="DC30" s="16"/>
      <c r="DD30" s="16"/>
      <c r="DE30" s="16"/>
      <c r="DF30" s="33"/>
      <c r="DG30" s="33"/>
      <c r="DH30" s="16"/>
      <c r="DI30" s="16"/>
      <c r="DJ30" s="94"/>
      <c r="DK30" s="33"/>
      <c r="DL30" s="16">
        <f t="shared" si="4"/>
        <v>0</v>
      </c>
      <c r="DM30" s="34"/>
      <c r="DN30" s="17"/>
      <c r="DO30" s="32">
        <f t="shared" si="3"/>
        <v>0</v>
      </c>
      <c r="DU30" s="16"/>
      <c r="DV30" s="75" t="s">
        <v>579</v>
      </c>
      <c r="DW30" s="75" t="s">
        <v>580</v>
      </c>
      <c r="DX30" s="75" t="s">
        <v>581</v>
      </c>
      <c r="DY30" s="75" t="s">
        <v>582</v>
      </c>
      <c r="DZ30" s="75" t="s">
        <v>583</v>
      </c>
      <c r="EA30" s="75" t="s">
        <v>584</v>
      </c>
      <c r="EB30" s="75" t="s">
        <v>585</v>
      </c>
      <c r="EC30" s="75" t="s">
        <v>586</v>
      </c>
      <c r="ED30" s="75" t="s">
        <v>587</v>
      </c>
      <c r="EE30" s="75" t="s">
        <v>588</v>
      </c>
      <c r="EF30" s="75" t="s">
        <v>589</v>
      </c>
      <c r="EG30" s="75" t="s">
        <v>590</v>
      </c>
      <c r="EH30" s="75" t="s">
        <v>591</v>
      </c>
      <c r="EI30" s="75" t="s">
        <v>592</v>
      </c>
      <c r="EJ30" s="75" t="s">
        <v>593</v>
      </c>
      <c r="EK30" s="75" t="s">
        <v>594</v>
      </c>
      <c r="EL30" s="75" t="s">
        <v>595</v>
      </c>
      <c r="EM30" s="75" t="s">
        <v>596</v>
      </c>
      <c r="EN30" s="75" t="s">
        <v>597</v>
      </c>
      <c r="EO30" s="75" t="s">
        <v>598</v>
      </c>
      <c r="EQ30" s="1" t="s">
        <v>645</v>
      </c>
      <c r="ER30" s="1" t="s">
        <v>646</v>
      </c>
      <c r="ES30" s="1" t="s">
        <v>561</v>
      </c>
      <c r="ET30" s="67" t="s">
        <v>638</v>
      </c>
      <c r="EU30" s="67" t="s">
        <v>649</v>
      </c>
      <c r="EV30" s="67" t="s">
        <v>650</v>
      </c>
      <c r="EW30" s="67" t="s">
        <v>651</v>
      </c>
      <c r="FD30" s="16">
        <v>21</v>
      </c>
      <c r="FE30" s="32">
        <f t="shared" si="0"/>
        <v>0</v>
      </c>
      <c r="FF30" s="16">
        <f>(COUNTIF(FE$10:$FE30,FE30)=1)+MAX(FF$10:FF29)</f>
        <v>1</v>
      </c>
      <c r="FG30" s="118">
        <f t="shared" si="1"/>
        <v>0</v>
      </c>
    </row>
    <row r="31" spans="2:163" ht="15" customHeight="1" thickBot="1" x14ac:dyDescent="0.25">
      <c r="B31" s="192" t="s">
        <v>556</v>
      </c>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274">
        <f>BX30</f>
        <v>9.9600000000000009</v>
      </c>
      <c r="AA31" s="274"/>
      <c r="AB31" s="199" t="s">
        <v>23</v>
      </c>
      <c r="AC31" s="200"/>
      <c r="AF31" s="4" t="s">
        <v>30</v>
      </c>
      <c r="AG31" s="5"/>
      <c r="AH31" s="5"/>
      <c r="AI31" s="5"/>
      <c r="AJ31" s="5"/>
      <c r="AK31" s="5"/>
      <c r="AL31" s="5"/>
      <c r="AM31" s="5"/>
      <c r="AN31" s="5"/>
      <c r="AO31" s="6"/>
      <c r="AQ31" s="60"/>
      <c r="AR31" s="7" t="s">
        <v>51</v>
      </c>
      <c r="AS31" s="8"/>
      <c r="AT31" s="8"/>
      <c r="AU31" s="8"/>
      <c r="AV31" s="8"/>
      <c r="AW31" s="8"/>
      <c r="AX31" s="8"/>
      <c r="AY31" s="8"/>
      <c r="AZ31" s="8"/>
      <c r="BA31" s="9"/>
      <c r="BO31" s="1">
        <v>2</v>
      </c>
      <c r="BP31" s="7" t="s">
        <v>523</v>
      </c>
      <c r="BQ31" s="8"/>
      <c r="BR31" s="8"/>
      <c r="BS31" s="8"/>
      <c r="BT31" s="8"/>
      <c r="BU31" s="8"/>
      <c r="BV31" s="8"/>
      <c r="BW31" s="8"/>
      <c r="BX31" s="225">
        <f>BV27*0.7</f>
        <v>23.240000000000002</v>
      </c>
      <c r="BY31" s="226"/>
      <c r="CB31" s="32" t="s">
        <v>449</v>
      </c>
      <c r="CC31" s="16" t="s">
        <v>429</v>
      </c>
      <c r="CD31" s="16" t="s">
        <v>445</v>
      </c>
      <c r="CE31" s="16" t="s">
        <v>444</v>
      </c>
      <c r="CF31" s="16" t="s">
        <v>341</v>
      </c>
      <c r="CG31" s="16" t="s">
        <v>443</v>
      </c>
      <c r="CH31" s="16" t="s">
        <v>442</v>
      </c>
      <c r="CI31" s="16" t="s">
        <v>564</v>
      </c>
      <c r="CJ31" s="16" t="s">
        <v>466</v>
      </c>
      <c r="CK31" s="69" t="s">
        <v>603</v>
      </c>
      <c r="CL31" s="16" t="s">
        <v>438</v>
      </c>
      <c r="CM31" s="16" t="s">
        <v>440</v>
      </c>
      <c r="CN31" s="16" t="s">
        <v>441</v>
      </c>
      <c r="CO31" s="16" t="s">
        <v>506</v>
      </c>
      <c r="CP31" s="69" t="s">
        <v>604</v>
      </c>
      <c r="CQ31" s="7" t="s">
        <v>439</v>
      </c>
      <c r="CR31" s="56">
        <f>IF(B64=CK31,1,IF(B64=CJ31,1,IF(B64=CL31,1,IF(B64=CN31,1,IF(B64=CM31,1,IF(B64=CO31,1,IF(B64=CP31,1,IF(B64=CQ31,1,IF(B64=CH31,1,IF(B64=CG31,1,IF(B64=CC31,2,IF(B64=CF31,2,IF(B64=CE31,2,IF(B64=CD31,2,IF(B64=CI31,3,0)))))))))))))))</f>
        <v>0</v>
      </c>
      <c r="CS31" s="16">
        <f>IF(B64=CJ31,2,IF(B64=CO31,2,IF(B64=CK31,2,IF(B64=CP31,2,IF(B64=CL31,1,IF(B64=CQ31,1,IF(B64=CM31,1,0)))))))</f>
        <v>0</v>
      </c>
      <c r="CT31" s="16">
        <f>IF(B64=CO31,1,IF(B64=CP31,1,IF(B64=CQ31,1,0)))</f>
        <v>0</v>
      </c>
      <c r="CU31" s="7">
        <f t="shared" si="2"/>
        <v>0</v>
      </c>
      <c r="CV31" s="54">
        <f>IF(CR31=3,1,0)</f>
        <v>0</v>
      </c>
      <c r="CZ31" s="32" t="s">
        <v>449</v>
      </c>
      <c r="DA31" s="16">
        <f>B64</f>
        <v>0</v>
      </c>
      <c r="DB31" s="16">
        <f>CS31</f>
        <v>0</v>
      </c>
      <c r="DC31" s="16">
        <f>CR31</f>
        <v>0</v>
      </c>
      <c r="DD31" s="16">
        <f>G64</f>
        <v>0</v>
      </c>
      <c r="DE31" s="16">
        <f>IF(J64="Bedarf",1,0)</f>
        <v>0</v>
      </c>
      <c r="DF31" s="33">
        <f>N64</f>
        <v>0</v>
      </c>
      <c r="DG31" s="33">
        <f>L64</f>
        <v>0</v>
      </c>
      <c r="DH31" s="16">
        <f>IF(CU31=1,0,IF(DC31,IF(DG31,0,VLOOKUP(DC31,$CI$86:$CK$88,$BD$25+1,FALSE)),0))</f>
        <v>0</v>
      </c>
      <c r="DI31" s="16">
        <f>IF(DC31=1,VLOOKUP(DC31,$CI$86:$CK$88,$BD$25+1,FALSE),0)</f>
        <v>0</v>
      </c>
      <c r="DJ31" s="94" t="e">
        <f>IF($DF$60&gt;0,DH31/SUM($DH$13:$DH$41)*IF(AND($V$28&gt;0,$BD$100=2),$DF$66,$DF$60),0)</f>
        <v>#DIV/0!</v>
      </c>
      <c r="DK31" s="33" t="e">
        <f>MAX(DG31,DH31/SUM($DH$13:$DH$41)*IF(AND($V$28&gt;0,$BD$100=2),$DF$67,$DF$61))</f>
        <v>#DIV/0!</v>
      </c>
      <c r="DL31" s="16" t="e">
        <f t="shared" si="4"/>
        <v>#DIV/0!</v>
      </c>
      <c r="DM31" s="34" t="e">
        <f>IF($DF$62&gt;0,DH31/SUM($DH$13:$DH$41)*IF(AND($V$28&gt;0,$BD$100=2),$DF$68,$DF$62),0)</f>
        <v>#REF!</v>
      </c>
      <c r="DN31" s="17" t="e">
        <f>MAX(DG31,DH31/SUM($DH$13:$DH$41)*IF(AND($V$28&gt;0,$BD$100=2),$DF$69,$DF$63))</f>
        <v>#DIV/0!</v>
      </c>
      <c r="DO31" s="32" t="e">
        <f t="shared" si="3"/>
        <v>#DIV/0!</v>
      </c>
      <c r="DU31" s="74"/>
      <c r="DV31" s="74">
        <v>1</v>
      </c>
      <c r="DW31" s="74">
        <v>1</v>
      </c>
      <c r="DX31" s="74">
        <v>1</v>
      </c>
      <c r="DY31" s="74">
        <v>1</v>
      </c>
      <c r="DZ31" s="74">
        <v>1</v>
      </c>
      <c r="EA31" s="74">
        <v>1</v>
      </c>
      <c r="EB31" s="74">
        <v>1</v>
      </c>
      <c r="EC31" s="74">
        <v>1</v>
      </c>
      <c r="ED31" s="74">
        <v>1</v>
      </c>
      <c r="EE31" s="74">
        <v>1</v>
      </c>
      <c r="EF31" s="74">
        <v>1</v>
      </c>
      <c r="EG31" s="74">
        <v>1</v>
      </c>
      <c r="EH31" s="74">
        <v>1</v>
      </c>
      <c r="EI31" s="74">
        <v>1</v>
      </c>
      <c r="EJ31" s="74">
        <v>1</v>
      </c>
      <c r="EK31" s="74">
        <v>1</v>
      </c>
      <c r="EL31" s="74">
        <v>1</v>
      </c>
      <c r="EM31" s="74">
        <v>1</v>
      </c>
      <c r="EN31" s="74">
        <v>1</v>
      </c>
      <c r="EO31" s="74">
        <v>1</v>
      </c>
      <c r="EQ31" s="73" t="s">
        <v>571</v>
      </c>
      <c r="ER31" s="73" t="s">
        <v>571</v>
      </c>
      <c r="ES31" s="73" t="s">
        <v>635</v>
      </c>
      <c r="ET31" s="48" t="s">
        <v>640</v>
      </c>
      <c r="EU31" s="102" t="s">
        <v>666</v>
      </c>
      <c r="EV31" s="102" t="s">
        <v>663</v>
      </c>
      <c r="EW31" s="102" t="s">
        <v>669</v>
      </c>
      <c r="FD31" s="16">
        <v>22</v>
      </c>
      <c r="FE31" s="32">
        <f t="shared" si="0"/>
        <v>0</v>
      </c>
      <c r="FF31" s="16">
        <f>(COUNTIF(FE$10:$FE31,FE31)=1)+MAX(FF$10:FF30)</f>
        <v>1</v>
      </c>
      <c r="FG31" s="118">
        <f t="shared" si="1"/>
        <v>0</v>
      </c>
    </row>
    <row r="32" spans="2:163" ht="15" customHeight="1" thickBot="1" x14ac:dyDescent="0.25">
      <c r="B32" s="195" t="s">
        <v>343</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4">
        <f>BP44*V25*V27*BD58</f>
        <v>0</v>
      </c>
      <c r="AA32" s="194"/>
      <c r="AB32" s="197" t="s">
        <v>23</v>
      </c>
      <c r="AC32" s="198"/>
      <c r="AF32" s="7" t="s">
        <v>347</v>
      </c>
      <c r="AG32" s="8"/>
      <c r="AH32" s="8"/>
      <c r="AI32" s="8"/>
      <c r="AJ32" s="8"/>
      <c r="AK32" s="8"/>
      <c r="AL32" s="8"/>
      <c r="AM32" s="8"/>
      <c r="AN32" s="8"/>
      <c r="AO32" s="9"/>
      <c r="AQ32" s="60"/>
      <c r="AR32" s="7" t="s">
        <v>52</v>
      </c>
      <c r="AS32" s="8"/>
      <c r="AT32" s="8"/>
      <c r="AU32" s="8"/>
      <c r="AV32" s="8"/>
      <c r="AW32" s="8"/>
      <c r="AX32" s="8"/>
      <c r="AY32" s="8"/>
      <c r="AZ32" s="8"/>
      <c r="BA32" s="9"/>
      <c r="BD32" s="227" t="s">
        <v>513</v>
      </c>
      <c r="BE32" s="228"/>
      <c r="BF32" s="228"/>
      <c r="BG32" s="228"/>
      <c r="BH32" s="228"/>
      <c r="BI32" s="228"/>
      <c r="BJ32" s="228"/>
      <c r="BK32" s="228"/>
      <c r="BL32" s="228"/>
      <c r="BM32" s="229"/>
      <c r="BO32" s="1">
        <v>3</v>
      </c>
      <c r="BP32" s="7" t="s">
        <v>522</v>
      </c>
      <c r="BQ32" s="8"/>
      <c r="BR32" s="8"/>
      <c r="BS32" s="8"/>
      <c r="BT32" s="8"/>
      <c r="BU32" s="8"/>
      <c r="BV32" s="8"/>
      <c r="BW32" s="8"/>
      <c r="BX32" s="225">
        <f>BV27</f>
        <v>33.200000000000003</v>
      </c>
      <c r="BY32" s="226"/>
      <c r="CB32" s="32"/>
      <c r="CC32" s="16"/>
      <c r="CD32" s="16"/>
      <c r="CE32" s="16"/>
      <c r="CF32" s="16"/>
      <c r="CG32" s="16"/>
      <c r="CH32" s="16"/>
      <c r="CI32" s="16"/>
      <c r="CJ32" s="16"/>
      <c r="CK32" s="69"/>
      <c r="CL32" s="16"/>
      <c r="CM32" s="16"/>
      <c r="CN32" s="16"/>
      <c r="CO32" s="16"/>
      <c r="CP32" s="69"/>
      <c r="CQ32" s="7"/>
      <c r="CR32" s="56"/>
      <c r="CS32" s="16"/>
      <c r="CT32" s="16"/>
      <c r="CU32" s="7">
        <f t="shared" si="2"/>
        <v>0</v>
      </c>
      <c r="CV32" s="54"/>
      <c r="CZ32" s="32"/>
      <c r="DA32" s="16"/>
      <c r="DB32" s="16"/>
      <c r="DC32" s="16"/>
      <c r="DD32" s="16"/>
      <c r="DE32" s="16"/>
      <c r="DF32" s="33"/>
      <c r="DG32" s="33"/>
      <c r="DH32" s="16"/>
      <c r="DI32" s="16"/>
      <c r="DJ32" s="94"/>
      <c r="DK32" s="33"/>
      <c r="DL32" s="16">
        <f t="shared" si="4"/>
        <v>0</v>
      </c>
      <c r="DM32" s="34"/>
      <c r="DN32" s="17"/>
      <c r="DO32" s="32">
        <f t="shared" si="3"/>
        <v>0</v>
      </c>
      <c r="DU32" s="74"/>
      <c r="DV32" s="74"/>
      <c r="DW32" s="74">
        <v>2</v>
      </c>
      <c r="DX32" s="74">
        <v>2</v>
      </c>
      <c r="DY32" s="74">
        <v>2</v>
      </c>
      <c r="DZ32" s="74">
        <v>2</v>
      </c>
      <c r="EA32" s="74">
        <v>2</v>
      </c>
      <c r="EB32" s="74">
        <v>2</v>
      </c>
      <c r="EC32" s="74">
        <v>2</v>
      </c>
      <c r="ED32" s="74">
        <v>2</v>
      </c>
      <c r="EE32" s="74">
        <v>2</v>
      </c>
      <c r="EF32" s="74">
        <v>2</v>
      </c>
      <c r="EG32" s="74">
        <v>2</v>
      </c>
      <c r="EH32" s="74">
        <v>2</v>
      </c>
      <c r="EI32" s="74">
        <v>2</v>
      </c>
      <c r="EJ32" s="74">
        <v>2</v>
      </c>
      <c r="EK32" s="74">
        <v>2</v>
      </c>
      <c r="EL32" s="74">
        <v>2</v>
      </c>
      <c r="EM32" s="74">
        <v>2</v>
      </c>
      <c r="EN32" s="74">
        <v>2</v>
      </c>
      <c r="EO32" s="74">
        <v>2</v>
      </c>
      <c r="EQ32" s="73" t="s">
        <v>572</v>
      </c>
      <c r="ER32" s="73" t="s">
        <v>572</v>
      </c>
      <c r="ES32" s="73" t="s">
        <v>636</v>
      </c>
      <c r="ET32" s="48" t="s">
        <v>642</v>
      </c>
      <c r="EU32" s="102" t="s">
        <v>667</v>
      </c>
      <c r="EV32" s="102" t="s">
        <v>664</v>
      </c>
      <c r="EW32" s="102" t="s">
        <v>670</v>
      </c>
      <c r="FD32" s="16">
        <v>23</v>
      </c>
      <c r="FE32" s="32">
        <f t="shared" si="0"/>
        <v>0</v>
      </c>
      <c r="FF32" s="16">
        <f>(COUNTIF(FE$10:$FE32,FE32)=1)+MAX(FF$10:FF31)</f>
        <v>1</v>
      </c>
      <c r="FG32" s="118">
        <f t="shared" si="1"/>
        <v>0</v>
      </c>
    </row>
    <row r="33" spans="2:163" ht="15" customHeight="1" thickBot="1" x14ac:dyDescent="0.25">
      <c r="B33" s="183"/>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5"/>
      <c r="AF33" s="4" t="s">
        <v>31</v>
      </c>
      <c r="AG33" s="5"/>
      <c r="AH33" s="5"/>
      <c r="AI33" s="5"/>
      <c r="AJ33" s="5"/>
      <c r="AK33" s="5"/>
      <c r="AL33" s="5"/>
      <c r="AM33" s="5"/>
      <c r="AN33" s="5"/>
      <c r="AO33" s="6"/>
      <c r="AQ33" s="21"/>
      <c r="AR33" s="7" t="s">
        <v>53</v>
      </c>
      <c r="AS33" s="8"/>
      <c r="AT33" s="8"/>
      <c r="AU33" s="8"/>
      <c r="AV33" s="8"/>
      <c r="AW33" s="8"/>
      <c r="AX33" s="8"/>
      <c r="AY33" s="8"/>
      <c r="AZ33" s="8"/>
      <c r="BA33" s="9"/>
      <c r="BD33" s="320"/>
      <c r="BE33" s="321"/>
      <c r="BF33" s="321"/>
      <c r="BG33" s="321"/>
      <c r="BH33" s="321"/>
      <c r="BI33" s="321"/>
      <c r="BJ33" s="23"/>
      <c r="BK33" s="23"/>
      <c r="BL33" s="23"/>
      <c r="BM33" s="24">
        <v>0.1</v>
      </c>
      <c r="BO33" s="1">
        <v>4</v>
      </c>
      <c r="BP33" s="7" t="s">
        <v>524</v>
      </c>
      <c r="BQ33" s="38"/>
      <c r="BR33" s="38"/>
      <c r="BS33" s="38"/>
      <c r="BT33" s="38"/>
      <c r="BU33" s="38"/>
      <c r="BV33" s="38"/>
      <c r="BW33" s="38"/>
      <c r="BX33" s="243">
        <f>BV27*1.3</f>
        <v>43.160000000000004</v>
      </c>
      <c r="BY33" s="244"/>
      <c r="BZ33" s="13"/>
      <c r="CB33" s="32" t="s">
        <v>450</v>
      </c>
      <c r="CC33" s="16" t="s">
        <v>429</v>
      </c>
      <c r="CD33" s="16" t="s">
        <v>445</v>
      </c>
      <c r="CE33" s="16" t="s">
        <v>444</v>
      </c>
      <c r="CF33" s="16" t="s">
        <v>341</v>
      </c>
      <c r="CG33" s="16" t="s">
        <v>443</v>
      </c>
      <c r="CH33" s="16" t="s">
        <v>442</v>
      </c>
      <c r="CI33" s="16" t="s">
        <v>564</v>
      </c>
      <c r="CJ33" s="16" t="s">
        <v>466</v>
      </c>
      <c r="CK33" s="69" t="s">
        <v>603</v>
      </c>
      <c r="CL33" s="16" t="s">
        <v>438</v>
      </c>
      <c r="CM33" s="16" t="s">
        <v>440</v>
      </c>
      <c r="CN33" s="16" t="s">
        <v>441</v>
      </c>
      <c r="CO33" s="16" t="s">
        <v>506</v>
      </c>
      <c r="CP33" s="69" t="s">
        <v>604</v>
      </c>
      <c r="CQ33" s="7" t="s">
        <v>439</v>
      </c>
      <c r="CR33" s="56">
        <f>IF(B66=CK33,1,IF(B66=CJ33,1,IF(B66=CL33,1,IF(B66=CN33,1,IF(B66=CM33,1,IF(B66=CO33,1,IF(B66=CP33,1,IF(B66=CQ33,1,IF(B66=CH33,1,IF(B66=CG33,1,IF(B66=CC33,2,IF(B66=CF33,2,IF(B66=CE33,2,IF(B66=CD33,2,IF(B66=CI33,3,0)))))))))))))))</f>
        <v>0</v>
      </c>
      <c r="CS33" s="16">
        <f>IF(B66=CJ33,2,IF(B66=CO33,2,IF(B66=CK33,2,IF(B66=CP33,2,IF(B66=CL33,1,IF(B66=CQ33,1,IF(B66=CM33,1,0)))))))</f>
        <v>0</v>
      </c>
      <c r="CT33" s="16">
        <f>IF(B66=CO33,1,IF(B66=CP33,1,IF(B66=CQ33,1,0)))</f>
        <v>0</v>
      </c>
      <c r="CU33" s="7">
        <f t="shared" si="2"/>
        <v>0</v>
      </c>
      <c r="CV33" s="54">
        <f>IF(CR33=3,1,0)</f>
        <v>0</v>
      </c>
      <c r="CZ33" s="32" t="s">
        <v>450</v>
      </c>
      <c r="DA33" s="16">
        <f>B66</f>
        <v>0</v>
      </c>
      <c r="DB33" s="16">
        <f>CS33</f>
        <v>0</v>
      </c>
      <c r="DC33" s="16">
        <f>CR33</f>
        <v>0</v>
      </c>
      <c r="DD33" s="16">
        <f>G66</f>
        <v>0</v>
      </c>
      <c r="DE33" s="16">
        <f>IF(J66="Bedarf",1,0)</f>
        <v>0</v>
      </c>
      <c r="DF33" s="33">
        <f>N66</f>
        <v>0</v>
      </c>
      <c r="DG33" s="33">
        <f>L66</f>
        <v>0</v>
      </c>
      <c r="DH33" s="16">
        <f>IF(CU33=1,0,IF(DC33,IF(DG33,0,VLOOKUP(DC33,$CI$86:$CK$88,$BD$25+1,FALSE)),0))</f>
        <v>0</v>
      </c>
      <c r="DI33" s="16">
        <f>IF(DC33=1,VLOOKUP(DC33,$CI$86:$CK$88,$BD$25+1,FALSE),0)</f>
        <v>0</v>
      </c>
      <c r="DJ33" s="94" t="e">
        <f>IF($DF$60&gt;0,DH33/SUM($DH$13:$DH$41)*IF(AND($V$28&gt;0,$BD$100=2),$DF$66,$DF$60),0)</f>
        <v>#DIV/0!</v>
      </c>
      <c r="DK33" s="33" t="e">
        <f>MAX(DG33,DH33/SUM($DH$13:$DH$41)*IF(AND($V$28&gt;0,$BD$100=2),$DF$67,$DF$61))</f>
        <v>#DIV/0!</v>
      </c>
      <c r="DL33" s="16" t="e">
        <f t="shared" si="4"/>
        <v>#DIV/0!</v>
      </c>
      <c r="DM33" s="34" t="e">
        <f>IF($DF$62&gt;0,DH33/SUM($DH$13:$DH$41)*IF(AND($V$28&gt;0,$BD$100=2),$DF$68,$DF$62),0)</f>
        <v>#REF!</v>
      </c>
      <c r="DN33" s="17" t="e">
        <f>MAX(DG33,DH33/SUM($DH$13:$DH$41)*IF(AND($V$28&gt;0,$BD$100=2),$DF$69,$DF$63))</f>
        <v>#DIV/0!</v>
      </c>
      <c r="DO33" s="32" t="e">
        <f t="shared" si="3"/>
        <v>#DIV/0!</v>
      </c>
      <c r="DU33" s="74"/>
      <c r="DV33" s="74"/>
      <c r="DX33" s="74">
        <v>3</v>
      </c>
      <c r="DY33" s="74">
        <v>3</v>
      </c>
      <c r="DZ33" s="74">
        <v>3</v>
      </c>
      <c r="EA33" s="74">
        <v>3</v>
      </c>
      <c r="EB33" s="74">
        <v>3</v>
      </c>
      <c r="EC33" s="74">
        <v>3</v>
      </c>
      <c r="ED33" s="74">
        <v>3</v>
      </c>
      <c r="EE33" s="74">
        <v>3</v>
      </c>
      <c r="EF33" s="74">
        <v>3</v>
      </c>
      <c r="EG33" s="74">
        <v>3</v>
      </c>
      <c r="EH33" s="74">
        <v>3</v>
      </c>
      <c r="EI33" s="74">
        <v>3</v>
      </c>
      <c r="EJ33" s="74">
        <v>3</v>
      </c>
      <c r="EK33" s="74">
        <v>3</v>
      </c>
      <c r="EL33" s="74">
        <v>3</v>
      </c>
      <c r="EM33" s="74">
        <v>3</v>
      </c>
      <c r="EN33" s="74">
        <v>3</v>
      </c>
      <c r="EO33" s="74">
        <v>3</v>
      </c>
      <c r="EQ33" s="73" t="s">
        <v>573</v>
      </c>
      <c r="ER33" s="73" t="s">
        <v>573</v>
      </c>
      <c r="ES33" s="73" t="s">
        <v>630</v>
      </c>
      <c r="EU33" s="102" t="s">
        <v>672</v>
      </c>
      <c r="EV33" s="102" t="s">
        <v>665</v>
      </c>
      <c r="EW33" s="102" t="s">
        <v>671</v>
      </c>
      <c r="FD33" s="16">
        <v>24</v>
      </c>
      <c r="FE33" s="32">
        <f t="shared" si="0"/>
        <v>0</v>
      </c>
      <c r="FF33" s="16">
        <f>(COUNTIF(FE$10:$FE33,FE33)=1)+MAX(FF$10:FF32)</f>
        <v>1</v>
      </c>
      <c r="FG33" s="118">
        <f t="shared" si="1"/>
        <v>0</v>
      </c>
    </row>
    <row r="34" spans="2:163" ht="15" customHeight="1" thickBot="1" x14ac:dyDescent="0.25">
      <c r="B34" s="186"/>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F34" s="4" t="s">
        <v>32</v>
      </c>
      <c r="AG34" s="5"/>
      <c r="AH34" s="5"/>
      <c r="AI34" s="5"/>
      <c r="AJ34" s="5"/>
      <c r="AK34" s="5"/>
      <c r="AL34" s="5"/>
      <c r="AM34" s="5"/>
      <c r="AN34" s="5"/>
      <c r="AO34" s="6"/>
      <c r="AQ34" s="22"/>
      <c r="AR34" s="7" t="s">
        <v>54</v>
      </c>
      <c r="AS34" s="8"/>
      <c r="AT34" s="8"/>
      <c r="AU34" s="8"/>
      <c r="AV34" s="8"/>
      <c r="AW34" s="8"/>
      <c r="AX34" s="8"/>
      <c r="AY34" s="8"/>
      <c r="AZ34" s="8"/>
      <c r="BA34" s="9"/>
      <c r="BD34" s="61"/>
      <c r="BE34" s="62"/>
      <c r="BF34" s="62"/>
      <c r="BG34" s="62"/>
      <c r="BH34" s="62"/>
      <c r="BI34" s="62"/>
      <c r="BJ34" s="23"/>
      <c r="BK34" s="23"/>
      <c r="BL34" s="23"/>
      <c r="BM34" s="24">
        <v>0.2</v>
      </c>
      <c r="BP34" s="8"/>
      <c r="BQ34" s="38"/>
      <c r="BR34" s="38"/>
      <c r="BS34" s="38"/>
      <c r="BT34" s="38"/>
      <c r="BU34" s="38"/>
      <c r="BV34" s="38"/>
      <c r="BW34" s="38"/>
      <c r="BX34" s="40"/>
      <c r="BY34" s="40"/>
      <c r="BZ34" s="13"/>
      <c r="CA34" s="2"/>
      <c r="CB34" s="32"/>
      <c r="CC34" s="16"/>
      <c r="CD34" s="16"/>
      <c r="CE34" s="16"/>
      <c r="CF34" s="16"/>
      <c r="CG34" s="16"/>
      <c r="CH34" s="16"/>
      <c r="CI34" s="16"/>
      <c r="CJ34" s="16"/>
      <c r="CK34" s="69"/>
      <c r="CL34" s="16"/>
      <c r="CM34" s="16"/>
      <c r="CN34" s="16"/>
      <c r="CO34" s="16"/>
      <c r="CP34" s="69"/>
      <c r="CQ34" s="7"/>
      <c r="CR34" s="56"/>
      <c r="CS34" s="16"/>
      <c r="CT34" s="16"/>
      <c r="CU34" s="7">
        <f t="shared" si="2"/>
        <v>0</v>
      </c>
      <c r="CV34" s="54"/>
      <c r="CZ34" s="32"/>
      <c r="DA34" s="16"/>
      <c r="DB34" s="16"/>
      <c r="DC34" s="16"/>
      <c r="DD34" s="16"/>
      <c r="DE34" s="16"/>
      <c r="DF34" s="33"/>
      <c r="DG34" s="33"/>
      <c r="DH34" s="16"/>
      <c r="DI34" s="16"/>
      <c r="DJ34" s="94"/>
      <c r="DK34" s="33"/>
      <c r="DL34" s="16">
        <f t="shared" si="4"/>
        <v>0</v>
      </c>
      <c r="DM34" s="34"/>
      <c r="DN34" s="17"/>
      <c r="DO34" s="32">
        <f t="shared" si="3"/>
        <v>0</v>
      </c>
      <c r="DU34" s="74"/>
      <c r="DV34" s="74"/>
      <c r="DX34" s="74"/>
      <c r="DY34" s="74">
        <v>4</v>
      </c>
      <c r="DZ34" s="74">
        <v>4</v>
      </c>
      <c r="EA34" s="74">
        <v>4</v>
      </c>
      <c r="EB34" s="74">
        <v>4</v>
      </c>
      <c r="EC34" s="74">
        <v>4</v>
      </c>
      <c r="ED34" s="74">
        <v>4</v>
      </c>
      <c r="EE34" s="74">
        <v>4</v>
      </c>
      <c r="EF34" s="74">
        <v>4</v>
      </c>
      <c r="EG34" s="74">
        <v>4</v>
      </c>
      <c r="EH34" s="74">
        <v>4</v>
      </c>
      <c r="EI34" s="74">
        <v>4</v>
      </c>
      <c r="EJ34" s="74">
        <v>4</v>
      </c>
      <c r="EK34" s="74">
        <v>4</v>
      </c>
      <c r="EL34" s="74">
        <v>4</v>
      </c>
      <c r="EM34" s="74">
        <v>4</v>
      </c>
      <c r="EN34" s="74">
        <v>4</v>
      </c>
      <c r="EO34" s="74">
        <v>4</v>
      </c>
      <c r="EQ34" s="106" t="s">
        <v>674</v>
      </c>
      <c r="ER34" s="106" t="s">
        <v>674</v>
      </c>
      <c r="ES34" s="73" t="s">
        <v>631</v>
      </c>
      <c r="EU34" s="102" t="s">
        <v>668</v>
      </c>
      <c r="EV34" s="102" t="s">
        <v>673</v>
      </c>
      <c r="EW34" s="102" t="s">
        <v>648</v>
      </c>
      <c r="FD34" s="16">
        <v>25</v>
      </c>
      <c r="FE34" s="32">
        <f t="shared" si="0"/>
        <v>0</v>
      </c>
      <c r="FF34" s="16">
        <f>(COUNTIF(FE$10:$FE34,FE34)=1)+MAX(FF$10:FF33)</f>
        <v>1</v>
      </c>
      <c r="FG34" s="118">
        <f t="shared" si="1"/>
        <v>0</v>
      </c>
    </row>
    <row r="35" spans="2:163" ht="15" customHeight="1" thickBot="1" x14ac:dyDescent="0.25">
      <c r="B35" s="189" t="str">
        <f>IF(AND(V28&gt;0,BD100&lt;2),DU13,IF(BD100=2,"",""))</f>
        <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1"/>
      <c r="AF35" s="4" t="s">
        <v>33</v>
      </c>
      <c r="AG35" s="5"/>
      <c r="AH35" s="5"/>
      <c r="AI35" s="5"/>
      <c r="AJ35" s="5"/>
      <c r="AK35" s="5"/>
      <c r="AL35" s="5"/>
      <c r="AM35" s="5"/>
      <c r="AN35" s="5"/>
      <c r="AO35" s="6"/>
      <c r="AQ35" s="25"/>
      <c r="AR35" s="7" t="s">
        <v>55</v>
      </c>
      <c r="AS35" s="8"/>
      <c r="AT35" s="8"/>
      <c r="AU35" s="8"/>
      <c r="AV35" s="8"/>
      <c r="AW35" s="8"/>
      <c r="AX35" s="8"/>
      <c r="AY35" s="8"/>
      <c r="AZ35" s="8"/>
      <c r="BA35" s="9"/>
      <c r="BD35" s="61"/>
      <c r="BE35" s="62"/>
      <c r="BF35" s="62"/>
      <c r="BG35" s="62"/>
      <c r="BH35" s="62"/>
      <c r="BI35" s="62"/>
      <c r="BJ35" s="23"/>
      <c r="BK35" s="23"/>
      <c r="BL35" s="23"/>
      <c r="BM35" s="24">
        <v>0.3</v>
      </c>
      <c r="BO35" s="15"/>
      <c r="BP35" s="222" t="s">
        <v>628</v>
      </c>
      <c r="BQ35" s="223"/>
      <c r="BR35" s="223"/>
      <c r="BS35" s="223"/>
      <c r="BT35" s="223"/>
      <c r="BU35" s="223"/>
      <c r="BV35" s="223"/>
      <c r="BW35" s="223"/>
      <c r="BX35" s="223"/>
      <c r="BY35" s="224"/>
      <c r="CA35" s="15"/>
      <c r="CB35" s="32" t="s">
        <v>451</v>
      </c>
      <c r="CC35" s="16" t="s">
        <v>429</v>
      </c>
      <c r="CD35" s="16" t="s">
        <v>445</v>
      </c>
      <c r="CE35" s="16" t="s">
        <v>444</v>
      </c>
      <c r="CF35" s="16" t="s">
        <v>341</v>
      </c>
      <c r="CG35" s="16" t="s">
        <v>443</v>
      </c>
      <c r="CH35" s="16" t="s">
        <v>442</v>
      </c>
      <c r="CI35" s="16" t="s">
        <v>564</v>
      </c>
      <c r="CJ35" s="16" t="s">
        <v>466</v>
      </c>
      <c r="CK35" s="69" t="s">
        <v>603</v>
      </c>
      <c r="CL35" s="16" t="s">
        <v>438</v>
      </c>
      <c r="CM35" s="16" t="s">
        <v>440</v>
      </c>
      <c r="CN35" s="16" t="s">
        <v>441</v>
      </c>
      <c r="CO35" s="16" t="s">
        <v>506</v>
      </c>
      <c r="CP35" s="69" t="s">
        <v>604</v>
      </c>
      <c r="CQ35" s="7" t="s">
        <v>439</v>
      </c>
      <c r="CR35" s="56">
        <f>IF(B68=CK35,1,IF(B68=CJ35,1,IF(B68=CL35,1,IF(B68=CN35,1,IF(B68=CM35,1,IF(B68=CO35,1,IF(B68=CP35,1,IF(B68=CQ35,1,IF(B68=CH35,1,IF(B68=CG35,1,IF(B68=CC35,2,IF(B68=CF35,2,IF(B68=CE35,2,IF(B68=CD35,2,IF(B68=CI35,3,0)))))))))))))))</f>
        <v>0</v>
      </c>
      <c r="CS35" s="16">
        <f>IF(B68=CJ35,2,IF(B68=CO35,2,IF(B68=CK35,2,IF(B68=CP35,2,IF(B68=CL35,1,IF(B68=CQ35,1,IF(B68=CM35,1,0)))))))</f>
        <v>0</v>
      </c>
      <c r="CT35" s="16">
        <f>IF(B68=CO35,1,IF(B68=CP35,1,IF(B68=CQ35,1,0)))</f>
        <v>0</v>
      </c>
      <c r="CU35" s="7">
        <f t="shared" si="2"/>
        <v>0</v>
      </c>
      <c r="CV35" s="54">
        <f>IF(CR35=3,1,0)</f>
        <v>0</v>
      </c>
      <c r="CZ35" s="32" t="s">
        <v>451</v>
      </c>
      <c r="DA35" s="16">
        <f>B68</f>
        <v>0</v>
      </c>
      <c r="DB35" s="16">
        <f>CS35</f>
        <v>0</v>
      </c>
      <c r="DC35" s="16">
        <f>CR35</f>
        <v>0</v>
      </c>
      <c r="DD35" s="16">
        <f>G68</f>
        <v>0</v>
      </c>
      <c r="DE35" s="16">
        <f>IF(J68="Bedarf",1,0)</f>
        <v>0</v>
      </c>
      <c r="DF35" s="33">
        <f>N68</f>
        <v>0</v>
      </c>
      <c r="DG35" s="33">
        <f>L68</f>
        <v>0</v>
      </c>
      <c r="DH35" s="16">
        <f>IF(CU35=1,0,IF(DC35,IF(DG35,0,VLOOKUP(DC35,$CI$86:$CK$88,$BD$25+1,FALSE)),0))</f>
        <v>0</v>
      </c>
      <c r="DI35" s="16">
        <f>IF(DC35=1,VLOOKUP(DC35,$CI$86:$CK$88,$BD$25+1,FALSE),0)</f>
        <v>0</v>
      </c>
      <c r="DJ35" s="94" t="e">
        <f>IF($DF$60&gt;0,DH35/SUM($DH$13:$DH$41)*IF(AND($V$28&gt;0,$BD$100=2),$DF$66,$DF$60),0)</f>
        <v>#DIV/0!</v>
      </c>
      <c r="DK35" s="33" t="e">
        <f>MAX(DG35,DH35/SUM($DH$13:$DH$41)*IF(AND($V$28&gt;0,$BD$100=2),$DF$67,$DF$61))</f>
        <v>#DIV/0!</v>
      </c>
      <c r="DL35" s="16" t="e">
        <f t="shared" si="4"/>
        <v>#DIV/0!</v>
      </c>
      <c r="DM35" s="34" t="e">
        <f>IF($DF$62&gt;0,DH35/SUM($DH$13:$DH$41)*IF(AND($V$28&gt;0,$BD$100=2),$DF$68,$DF$62),0)</f>
        <v>#REF!</v>
      </c>
      <c r="DN35" s="17" t="e">
        <f>MAX(DG35,DH35/SUM($DH$13:$DH$41)*IF(AND($V$28&gt;0,$BD$100=2),$DF$69,$DF$63))</f>
        <v>#DIV/0!</v>
      </c>
      <c r="DO35" s="32" t="e">
        <f t="shared" si="3"/>
        <v>#DIV/0!</v>
      </c>
      <c r="DU35" s="74"/>
      <c r="DV35" s="74"/>
      <c r="DX35" s="74"/>
      <c r="DY35" s="74"/>
      <c r="DZ35" s="74">
        <v>5</v>
      </c>
      <c r="EA35" s="74">
        <v>5</v>
      </c>
      <c r="EB35" s="74">
        <v>5</v>
      </c>
      <c r="EC35" s="74">
        <v>5</v>
      </c>
      <c r="ED35" s="74">
        <v>5</v>
      </c>
      <c r="EE35" s="74">
        <v>5</v>
      </c>
      <c r="EF35" s="74">
        <v>5</v>
      </c>
      <c r="EG35" s="74">
        <v>5</v>
      </c>
      <c r="EH35" s="74">
        <v>5</v>
      </c>
      <c r="EI35" s="74">
        <v>5</v>
      </c>
      <c r="EJ35" s="74">
        <v>5</v>
      </c>
      <c r="EK35" s="74">
        <v>5</v>
      </c>
      <c r="EL35" s="74">
        <v>5</v>
      </c>
      <c r="EM35" s="74">
        <v>5</v>
      </c>
      <c r="EN35" s="74">
        <v>5</v>
      </c>
      <c r="EO35" s="74">
        <v>5</v>
      </c>
      <c r="EQ35" s="106" t="s">
        <v>678</v>
      </c>
      <c r="ER35" s="106" t="s">
        <v>678</v>
      </c>
      <c r="ES35" s="73" t="s">
        <v>632</v>
      </c>
      <c r="FD35" s="16">
        <v>26</v>
      </c>
      <c r="FE35" s="32">
        <f t="shared" si="0"/>
        <v>0</v>
      </c>
      <c r="FF35" s="16">
        <f>(COUNTIF(FE$10:$FE35,FE35)=1)+MAX(FF$10:FF34)</f>
        <v>1</v>
      </c>
      <c r="FG35" s="118">
        <f t="shared" si="1"/>
        <v>0</v>
      </c>
    </row>
    <row r="36" spans="2:163" ht="15" customHeight="1" thickBot="1" x14ac:dyDescent="0.25">
      <c r="B36" s="181" t="s">
        <v>611</v>
      </c>
      <c r="C36" s="182"/>
      <c r="D36" s="182"/>
      <c r="E36" s="182"/>
      <c r="F36" s="182"/>
      <c r="G36" s="182"/>
      <c r="H36" s="182"/>
      <c r="I36" s="182"/>
      <c r="J36" s="182"/>
      <c r="K36" s="182"/>
      <c r="L36" s="182"/>
      <c r="M36" s="182"/>
      <c r="N36" s="182"/>
      <c r="O36" s="182"/>
      <c r="P36" s="182"/>
      <c r="Q36" s="182"/>
      <c r="R36" s="182"/>
      <c r="S36" s="202" t="str">
        <f>IF(AND(V28&gt;0,BD100=2),"Freie Schachtlüftung","Querlüftung")</f>
        <v>Querlüftung</v>
      </c>
      <c r="T36" s="202"/>
      <c r="U36" s="202"/>
      <c r="V36" s="202"/>
      <c r="W36" s="202"/>
      <c r="X36" s="202"/>
      <c r="Y36" s="202"/>
      <c r="Z36" s="202"/>
      <c r="AA36" s="202"/>
      <c r="AB36" s="202"/>
      <c r="AC36" s="203"/>
      <c r="AF36" s="4" t="s">
        <v>36</v>
      </c>
      <c r="AG36" s="5"/>
      <c r="AH36" s="5"/>
      <c r="AI36" s="5"/>
      <c r="AJ36" s="5"/>
      <c r="AK36" s="5"/>
      <c r="AL36" s="5"/>
      <c r="AM36" s="5"/>
      <c r="AN36" s="5"/>
      <c r="AO36" s="6"/>
      <c r="AQ36" s="2"/>
      <c r="AR36" s="7" t="s">
        <v>60</v>
      </c>
      <c r="AS36" s="8"/>
      <c r="AT36" s="8"/>
      <c r="AU36" s="8"/>
      <c r="AV36" s="8"/>
      <c r="AW36" s="8"/>
      <c r="AX36" s="8"/>
      <c r="AY36" s="8"/>
      <c r="AZ36" s="8"/>
      <c r="BA36" s="9"/>
      <c r="BD36" s="61"/>
      <c r="BE36" s="62"/>
      <c r="BF36" s="62"/>
      <c r="BG36" s="62"/>
      <c r="BH36" s="62"/>
      <c r="BI36" s="62"/>
      <c r="BJ36" s="23"/>
      <c r="BK36" s="23"/>
      <c r="BL36" s="23"/>
      <c r="BM36" s="24">
        <v>0.4</v>
      </c>
      <c r="BO36" s="15">
        <v>1</v>
      </c>
      <c r="BP36" s="7" t="s">
        <v>521</v>
      </c>
      <c r="BQ36" s="8"/>
      <c r="BR36" s="8"/>
      <c r="BS36" s="8"/>
      <c r="BT36" s="8"/>
      <c r="BU36" s="8"/>
      <c r="BV36" s="8"/>
      <c r="BW36" s="8"/>
      <c r="BX36" s="225">
        <f>DF51</f>
        <v>0</v>
      </c>
      <c r="BY36" s="226"/>
      <c r="CA36" s="15"/>
      <c r="CB36" s="32"/>
      <c r="CC36" s="16"/>
      <c r="CD36" s="16"/>
      <c r="CE36" s="16"/>
      <c r="CF36" s="16"/>
      <c r="CG36" s="16"/>
      <c r="CH36" s="16"/>
      <c r="CI36" s="16"/>
      <c r="CJ36" s="16"/>
      <c r="CK36" s="69"/>
      <c r="CL36" s="16"/>
      <c r="CM36" s="16"/>
      <c r="CN36" s="16"/>
      <c r="CO36" s="16"/>
      <c r="CP36" s="69"/>
      <c r="CQ36" s="7"/>
      <c r="CR36" s="56"/>
      <c r="CS36" s="16"/>
      <c r="CT36" s="16"/>
      <c r="CU36" s="7">
        <f t="shared" si="2"/>
        <v>0</v>
      </c>
      <c r="CV36" s="54"/>
      <c r="CZ36" s="32"/>
      <c r="DA36" s="16"/>
      <c r="DB36" s="16"/>
      <c r="DC36" s="16"/>
      <c r="DD36" s="16"/>
      <c r="DE36" s="16"/>
      <c r="DF36" s="33"/>
      <c r="DG36" s="33"/>
      <c r="DH36" s="16"/>
      <c r="DI36" s="16"/>
      <c r="DJ36" s="94"/>
      <c r="DK36" s="33"/>
      <c r="DL36" s="16">
        <f t="shared" si="4"/>
        <v>0</v>
      </c>
      <c r="DM36" s="34"/>
      <c r="DN36" s="17"/>
      <c r="DO36" s="32">
        <f t="shared" si="3"/>
        <v>0</v>
      </c>
      <c r="DU36" s="74"/>
      <c r="DV36" s="74"/>
      <c r="DX36" s="74"/>
      <c r="DY36" s="74"/>
      <c r="DZ36" s="74"/>
      <c r="EA36" s="74">
        <v>6</v>
      </c>
      <c r="EB36" s="74">
        <v>6</v>
      </c>
      <c r="EC36" s="74">
        <v>6</v>
      </c>
      <c r="ED36" s="74">
        <v>6</v>
      </c>
      <c r="EE36" s="74">
        <v>6</v>
      </c>
      <c r="EF36" s="74">
        <v>6</v>
      </c>
      <c r="EG36" s="74">
        <v>6</v>
      </c>
      <c r="EH36" s="74">
        <v>6</v>
      </c>
      <c r="EI36" s="74">
        <v>6</v>
      </c>
      <c r="EJ36" s="74">
        <v>6</v>
      </c>
      <c r="EK36" s="74">
        <v>6</v>
      </c>
      <c r="EL36" s="74">
        <v>6</v>
      </c>
      <c r="EM36" s="74">
        <v>6</v>
      </c>
      <c r="EN36" s="74">
        <v>6</v>
      </c>
      <c r="EO36" s="74">
        <v>6</v>
      </c>
      <c r="EQ36" s="106" t="s">
        <v>675</v>
      </c>
      <c r="ER36" s="106" t="s">
        <v>675</v>
      </c>
      <c r="ES36" s="73" t="s">
        <v>633</v>
      </c>
      <c r="FD36" s="16">
        <v>27</v>
      </c>
      <c r="FE36" s="32">
        <f>R72</f>
        <v>0</v>
      </c>
      <c r="FF36" s="16">
        <f>(COUNTIF(FE$10:$FE36,FE36)=1)+MAX(FF$10:FF35)</f>
        <v>1</v>
      </c>
      <c r="FG36" s="118">
        <f t="shared" si="1"/>
        <v>0</v>
      </c>
    </row>
    <row r="37" spans="2:163" ht="15" customHeight="1" thickBot="1" x14ac:dyDescent="0.25">
      <c r="B37" s="175" t="s">
        <v>0</v>
      </c>
      <c r="C37" s="176"/>
      <c r="D37" s="176"/>
      <c r="E37" s="176"/>
      <c r="F37" s="176"/>
      <c r="G37" s="176"/>
      <c r="H37" s="176"/>
      <c r="I37" s="176"/>
      <c r="J37" s="176"/>
      <c r="K37" s="176"/>
      <c r="L37" s="177"/>
      <c r="M37" s="178" t="s">
        <v>505</v>
      </c>
      <c r="N37" s="179"/>
      <c r="O37" s="179"/>
      <c r="P37" s="179"/>
      <c r="Q37" s="180"/>
      <c r="R37" s="173" t="s">
        <v>686</v>
      </c>
      <c r="S37" s="174"/>
      <c r="T37" s="174"/>
      <c r="U37" s="174"/>
      <c r="V37" s="174"/>
      <c r="W37" s="174"/>
      <c r="X37" s="174"/>
      <c r="Y37" s="174"/>
      <c r="Z37" s="174"/>
      <c r="AA37" s="201">
        <f>VLOOKUP(BP19,DD54:DF57,3,FALSE)</f>
        <v>9.9600000000000009</v>
      </c>
      <c r="AB37" s="201"/>
      <c r="AC37" s="128" t="s">
        <v>23</v>
      </c>
      <c r="AF37" s="4" t="s">
        <v>37</v>
      </c>
      <c r="AG37" s="5"/>
      <c r="AH37" s="5"/>
      <c r="AI37" s="5"/>
      <c r="AJ37" s="5"/>
      <c r="AK37" s="5"/>
      <c r="AL37" s="5"/>
      <c r="AM37" s="5"/>
      <c r="AN37" s="5"/>
      <c r="AO37" s="6"/>
      <c r="AQ37" s="2"/>
      <c r="AR37" s="7" t="s">
        <v>63</v>
      </c>
      <c r="AS37" s="8"/>
      <c r="AT37" s="8"/>
      <c r="AU37" s="8"/>
      <c r="AV37" s="8"/>
      <c r="AW37" s="8"/>
      <c r="AX37" s="8"/>
      <c r="AY37" s="8"/>
      <c r="AZ37" s="8"/>
      <c r="BA37" s="9"/>
      <c r="BD37" s="61"/>
      <c r="BE37" s="62"/>
      <c r="BF37" s="62"/>
      <c r="BG37" s="62"/>
      <c r="BH37" s="62"/>
      <c r="BI37" s="62"/>
      <c r="BJ37" s="23"/>
      <c r="BK37" s="23"/>
      <c r="BL37" s="23"/>
      <c r="BM37" s="24">
        <v>0.5</v>
      </c>
      <c r="BO37" s="1">
        <v>2</v>
      </c>
      <c r="BP37" s="7" t="s">
        <v>523</v>
      </c>
      <c r="BQ37" s="8"/>
      <c r="BR37" s="8"/>
      <c r="BS37" s="8"/>
      <c r="BT37" s="8"/>
      <c r="BU37" s="8"/>
      <c r="BV37" s="8"/>
      <c r="BW37" s="8"/>
      <c r="BX37" s="225">
        <f>BX38*0.7</f>
        <v>0</v>
      </c>
      <c r="BY37" s="226"/>
      <c r="CA37" s="15"/>
      <c r="CB37" s="32" t="s">
        <v>452</v>
      </c>
      <c r="CC37" s="16" t="s">
        <v>429</v>
      </c>
      <c r="CD37" s="16" t="s">
        <v>445</v>
      </c>
      <c r="CE37" s="16" t="s">
        <v>444</v>
      </c>
      <c r="CF37" s="16" t="s">
        <v>341</v>
      </c>
      <c r="CG37" s="16" t="s">
        <v>443</v>
      </c>
      <c r="CH37" s="16" t="s">
        <v>442</v>
      </c>
      <c r="CI37" s="16" t="s">
        <v>564</v>
      </c>
      <c r="CJ37" s="16" t="s">
        <v>466</v>
      </c>
      <c r="CK37" s="69" t="s">
        <v>603</v>
      </c>
      <c r="CL37" s="16" t="s">
        <v>438</v>
      </c>
      <c r="CM37" s="16" t="s">
        <v>440</v>
      </c>
      <c r="CN37" s="16" t="s">
        <v>441</v>
      </c>
      <c r="CO37" s="16" t="s">
        <v>506</v>
      </c>
      <c r="CP37" s="69" t="s">
        <v>604</v>
      </c>
      <c r="CQ37" s="7" t="s">
        <v>439</v>
      </c>
      <c r="CR37" s="56">
        <f>IF(B70=CK37,1,IF(B70=CJ37,1,IF(B70=CL37,1,IF(B70=CN37,1,IF(B70=CM37,1,IF(B70=CO37,1,IF(B70=CP37,1,IF(B70=CQ37,1,IF(B70=CH37,1,IF(B70=CG37,1,IF(B70=CC37,2,IF(B70=CF37,2,IF(B70=CE37,2,IF(B70=CD37,2,IF(B70=CI37,3,0)))))))))))))))</f>
        <v>0</v>
      </c>
      <c r="CS37" s="16">
        <f>IF(B70=CJ37,2,IF(B70=CO37,2,IF(B70=CK37,2,IF(B70=CP37,2,IF(B70=CL37,1,IF(B70=CQ37,1,IF(B70=CM37,1,0)))))))</f>
        <v>0</v>
      </c>
      <c r="CT37" s="16">
        <f>IF(B70=CO37,1,IF(B70=CP37,1,IF(B70=CQ37,1,0)))</f>
        <v>0</v>
      </c>
      <c r="CU37" s="7">
        <f t="shared" si="2"/>
        <v>0</v>
      </c>
      <c r="CV37" s="54">
        <f>IF(CR37=3,1,0)</f>
        <v>0</v>
      </c>
      <c r="CZ37" s="32" t="s">
        <v>452</v>
      </c>
      <c r="DA37" s="16">
        <f>B70</f>
        <v>0</v>
      </c>
      <c r="DB37" s="16">
        <f>CS37</f>
        <v>0</v>
      </c>
      <c r="DC37" s="16">
        <f>CR37</f>
        <v>0</v>
      </c>
      <c r="DD37" s="16">
        <f>G70</f>
        <v>0</v>
      </c>
      <c r="DE37" s="16">
        <f>IF(J70="Bedarf",1,0)</f>
        <v>0</v>
      </c>
      <c r="DF37" s="33">
        <f>N70</f>
        <v>0</v>
      </c>
      <c r="DG37" s="33">
        <f>L70</f>
        <v>0</v>
      </c>
      <c r="DH37" s="16">
        <f>IF(CU37=1,0,IF(DC37,IF(DG37,0,VLOOKUP(DC37,$CI$86:$CK$88,$BD$25+1,FALSE)),0))</f>
        <v>0</v>
      </c>
      <c r="DI37" s="16">
        <f>IF(DC37=1,VLOOKUP(DC37,$CI$86:$CK$88,$BD$25+1,FALSE),0)</f>
        <v>0</v>
      </c>
      <c r="DJ37" s="94" t="e">
        <f>IF($DF$60&gt;0,DH37/SUM($DH$13:$DH$41)*IF(AND($V$28&gt;0,$BD$100=2),$DF$66,$DF$60),0)</f>
        <v>#DIV/0!</v>
      </c>
      <c r="DK37" s="33" t="e">
        <f>MAX(DG37,DH37/SUM($DH$13:$DH$41)*IF(AND($V$28&gt;0,$BD$100=2),$DF$67,$DF$61))</f>
        <v>#DIV/0!</v>
      </c>
      <c r="DL37" s="16" t="e">
        <f t="shared" si="4"/>
        <v>#DIV/0!</v>
      </c>
      <c r="DM37" s="34" t="e">
        <f>IF($DF$62&gt;0,DH37/SUM($DH$13:$DH$41)*IF(AND($V$28&gt;0,$BD$100=2),$DF$68,$DF$62),0)</f>
        <v>#REF!</v>
      </c>
      <c r="DN37" s="17" t="e">
        <f>MAX(DG37,DH37/SUM($DH$13:$DH$41)*IF(AND($V$28&gt;0,$BD$100=2),$DF$69,$DF$63))</f>
        <v>#DIV/0!</v>
      </c>
      <c r="DO37" s="32" t="e">
        <f t="shared" si="3"/>
        <v>#DIV/0!</v>
      </c>
      <c r="DU37" s="74"/>
      <c r="DV37" s="74"/>
      <c r="DX37" s="74"/>
      <c r="DY37" s="74"/>
      <c r="DZ37" s="74"/>
      <c r="EA37" s="74"/>
      <c r="EB37" s="74">
        <v>7</v>
      </c>
      <c r="EC37" s="74">
        <v>7</v>
      </c>
      <c r="ED37" s="74">
        <v>7</v>
      </c>
      <c r="EE37" s="74">
        <v>7</v>
      </c>
      <c r="EF37" s="74">
        <v>7</v>
      </c>
      <c r="EG37" s="74">
        <v>7</v>
      </c>
      <c r="EH37" s="74">
        <v>7</v>
      </c>
      <c r="EI37" s="74">
        <v>7</v>
      </c>
      <c r="EJ37" s="74">
        <v>7</v>
      </c>
      <c r="EK37" s="74">
        <v>7</v>
      </c>
      <c r="EL37" s="74">
        <v>7</v>
      </c>
      <c r="EM37" s="74">
        <v>7</v>
      </c>
      <c r="EN37" s="74">
        <v>7</v>
      </c>
      <c r="EO37" s="74">
        <v>7</v>
      </c>
      <c r="EQ37" s="106" t="s">
        <v>676</v>
      </c>
      <c r="ER37" s="106" t="s">
        <v>676</v>
      </c>
      <c r="ES37" s="73" t="s">
        <v>634</v>
      </c>
      <c r="FD37" s="16">
        <v>28</v>
      </c>
      <c r="FE37" s="32">
        <f>R73</f>
        <v>0</v>
      </c>
      <c r="FF37" s="16">
        <f>(COUNTIF(FE$10:$FE37,FE37)=1)+MAX(FF$10:FF36)</f>
        <v>1</v>
      </c>
      <c r="FG37" s="118">
        <f t="shared" si="1"/>
        <v>0</v>
      </c>
    </row>
    <row r="38" spans="2:163" ht="15" customHeight="1" thickBot="1" x14ac:dyDescent="0.25">
      <c r="B38" s="286" t="s">
        <v>689</v>
      </c>
      <c r="C38" s="215"/>
      <c r="D38" s="207">
        <f>V25*V27</f>
        <v>0</v>
      </c>
      <c r="E38" s="207"/>
      <c r="F38" s="129" t="s">
        <v>417</v>
      </c>
      <c r="G38" s="214" t="s">
        <v>690</v>
      </c>
      <c r="H38" s="215"/>
      <c r="I38" s="215"/>
      <c r="J38" s="207">
        <f>BD58</f>
        <v>1.5</v>
      </c>
      <c r="K38" s="207"/>
      <c r="L38" s="130" t="s">
        <v>414</v>
      </c>
      <c r="M38" s="212" t="str">
        <f>IF(BP19=1,BP18,"Lüftung zum Feuchteschutz qv,FL")</f>
        <v>Reduzierte Lüftung qv,RL</v>
      </c>
      <c r="N38" s="213"/>
      <c r="O38" s="213"/>
      <c r="P38" s="213"/>
      <c r="Q38" s="213"/>
      <c r="R38" s="213"/>
      <c r="S38" s="213"/>
      <c r="T38" s="213"/>
      <c r="U38" s="213"/>
      <c r="V38" s="213"/>
      <c r="W38" s="213"/>
      <c r="X38" s="213"/>
      <c r="Y38" s="213"/>
      <c r="Z38" s="213"/>
      <c r="AA38" s="206">
        <f>IF(BP19=1,DF56,DF54)</f>
        <v>23.240000000000002</v>
      </c>
      <c r="AB38" s="206"/>
      <c r="AC38" s="131" t="s">
        <v>23</v>
      </c>
      <c r="AD38" s="2"/>
      <c r="AF38" s="4" t="s">
        <v>38</v>
      </c>
      <c r="AG38" s="5"/>
      <c r="AH38" s="5"/>
      <c r="AI38" s="5"/>
      <c r="AJ38" s="5"/>
      <c r="AK38" s="5"/>
      <c r="AL38" s="5"/>
      <c r="AM38" s="5"/>
      <c r="AN38" s="5"/>
      <c r="AO38" s="6"/>
      <c r="AR38" s="7" t="s">
        <v>64</v>
      </c>
      <c r="AS38" s="8"/>
      <c r="AT38" s="8"/>
      <c r="AU38" s="8"/>
      <c r="AV38" s="8"/>
      <c r="AW38" s="8"/>
      <c r="AX38" s="8"/>
      <c r="AY38" s="8"/>
      <c r="AZ38" s="8"/>
      <c r="BA38" s="9"/>
      <c r="BD38" s="257"/>
      <c r="BE38" s="258"/>
      <c r="BF38" s="258"/>
      <c r="BG38" s="258"/>
      <c r="BH38" s="23"/>
      <c r="BI38" s="23"/>
      <c r="BJ38" s="62"/>
      <c r="BK38" s="62"/>
      <c r="BL38" s="62"/>
      <c r="BM38" s="24">
        <v>0.6</v>
      </c>
      <c r="BO38" s="1">
        <v>3</v>
      </c>
      <c r="BP38" s="7" t="s">
        <v>522</v>
      </c>
      <c r="BQ38" s="8"/>
      <c r="BR38" s="8"/>
      <c r="BS38" s="8"/>
      <c r="BT38" s="8"/>
      <c r="BU38" s="8"/>
      <c r="BV38" s="8"/>
      <c r="BW38" s="8"/>
      <c r="BX38" s="225">
        <f>BX36/BP14</f>
        <v>0</v>
      </c>
      <c r="BY38" s="226"/>
      <c r="CA38" s="13"/>
      <c r="CB38" s="32"/>
      <c r="CC38" s="16"/>
      <c r="CD38" s="16"/>
      <c r="CE38" s="16"/>
      <c r="CF38" s="16"/>
      <c r="CG38" s="16"/>
      <c r="CH38" s="16"/>
      <c r="CI38" s="16"/>
      <c r="CJ38" s="16"/>
      <c r="CK38" s="69"/>
      <c r="CL38" s="16"/>
      <c r="CM38" s="16"/>
      <c r="CN38" s="16"/>
      <c r="CO38" s="16"/>
      <c r="CP38" s="69"/>
      <c r="CQ38" s="7"/>
      <c r="CR38" s="56"/>
      <c r="CS38" s="16"/>
      <c r="CT38" s="16"/>
      <c r="CU38" s="7">
        <f t="shared" si="2"/>
        <v>0</v>
      </c>
      <c r="CV38" s="54"/>
      <c r="CZ38" s="32"/>
      <c r="DA38" s="16"/>
      <c r="DB38" s="16"/>
      <c r="DC38" s="16"/>
      <c r="DD38" s="16"/>
      <c r="DE38" s="16"/>
      <c r="DF38" s="33"/>
      <c r="DG38" s="33"/>
      <c r="DH38" s="16"/>
      <c r="DI38" s="16"/>
      <c r="DJ38" s="94"/>
      <c r="DK38" s="33"/>
      <c r="DL38" s="16">
        <f t="shared" si="4"/>
        <v>0</v>
      </c>
      <c r="DM38" s="34"/>
      <c r="DN38" s="17"/>
      <c r="DO38" s="32">
        <f t="shared" si="3"/>
        <v>0</v>
      </c>
      <c r="DU38" s="74"/>
      <c r="DV38" s="74"/>
      <c r="DX38" s="74"/>
      <c r="DY38" s="74"/>
      <c r="DZ38" s="74"/>
      <c r="EA38" s="74"/>
      <c r="EB38" s="74"/>
      <c r="EC38" s="74">
        <v>8</v>
      </c>
      <c r="ED38" s="74">
        <v>8</v>
      </c>
      <c r="EE38" s="74">
        <v>8</v>
      </c>
      <c r="EF38" s="74">
        <v>8</v>
      </c>
      <c r="EG38" s="74">
        <v>8</v>
      </c>
      <c r="EH38" s="74">
        <v>8</v>
      </c>
      <c r="EI38" s="74">
        <v>8</v>
      </c>
      <c r="EJ38" s="74">
        <v>8</v>
      </c>
      <c r="EK38" s="74">
        <v>8</v>
      </c>
      <c r="EL38" s="74">
        <v>8</v>
      </c>
      <c r="EM38" s="74">
        <v>8</v>
      </c>
      <c r="EN38" s="74">
        <v>8</v>
      </c>
      <c r="EO38" s="74">
        <v>8</v>
      </c>
      <c r="EQ38" s="106" t="s">
        <v>677</v>
      </c>
      <c r="ER38" s="106" t="s">
        <v>677</v>
      </c>
      <c r="ES38" s="100" t="s">
        <v>640</v>
      </c>
      <c r="FD38" s="16">
        <v>29</v>
      </c>
      <c r="FE38" s="32">
        <f>R74</f>
        <v>0</v>
      </c>
      <c r="FF38" s="16">
        <f>(COUNTIF(FE$10:$FE38,FE38)=1)+MAX(FF$10:FF37)</f>
        <v>1</v>
      </c>
      <c r="FG38" s="118">
        <f t="shared" si="1"/>
        <v>0</v>
      </c>
    </row>
    <row r="39" spans="2:163" ht="15" customHeight="1" thickBot="1" x14ac:dyDescent="0.25">
      <c r="B39" s="286" t="s">
        <v>691</v>
      </c>
      <c r="C39" s="215"/>
      <c r="D39" s="209">
        <f>IF(BP19=1,IF(CB78=1,BP63,BP55),IF(BP19=2,IF(AND(CB78=1,CB83=1),BP63,BP55)))</f>
        <v>5.9464274989274028E-2</v>
      </c>
      <c r="E39" s="209"/>
      <c r="F39" s="132"/>
      <c r="G39" s="214" t="s">
        <v>692</v>
      </c>
      <c r="H39" s="215"/>
      <c r="I39" s="215"/>
      <c r="J39" s="218">
        <f>SUM(L46:L74)</f>
        <v>0</v>
      </c>
      <c r="K39" s="218"/>
      <c r="L39" s="133" t="str">
        <f>IF(J39,"m³/h","")</f>
        <v/>
      </c>
      <c r="M39" s="283" t="s">
        <v>694</v>
      </c>
      <c r="N39" s="284"/>
      <c r="O39" s="284"/>
      <c r="P39" s="284"/>
      <c r="Q39" s="284"/>
      <c r="R39" s="284"/>
      <c r="S39" s="284"/>
      <c r="T39" s="284"/>
      <c r="U39" s="284"/>
      <c r="V39" s="284"/>
      <c r="W39" s="284"/>
      <c r="X39" s="284"/>
      <c r="Y39" s="284"/>
      <c r="Z39" s="284"/>
      <c r="AA39" s="206">
        <f>DF55</f>
        <v>33.200000000000003</v>
      </c>
      <c r="AB39" s="206"/>
      <c r="AC39" s="131" t="s">
        <v>23</v>
      </c>
      <c r="AF39" s="4" t="s">
        <v>39</v>
      </c>
      <c r="AG39" s="5"/>
      <c r="AH39" s="5"/>
      <c r="AI39" s="5"/>
      <c r="AJ39" s="5"/>
      <c r="AK39" s="5"/>
      <c r="AL39" s="5"/>
      <c r="AM39" s="5"/>
      <c r="AN39" s="5"/>
      <c r="AO39" s="6"/>
      <c r="AR39" s="7" t="s">
        <v>65</v>
      </c>
      <c r="AS39" s="8"/>
      <c r="AT39" s="8"/>
      <c r="AU39" s="8"/>
      <c r="AV39" s="8"/>
      <c r="AW39" s="8"/>
      <c r="AX39" s="8"/>
      <c r="AY39" s="8"/>
      <c r="AZ39" s="8"/>
      <c r="BA39" s="9"/>
      <c r="BD39" s="26"/>
      <c r="BE39" s="23"/>
      <c r="BF39" s="23"/>
      <c r="BG39" s="23"/>
      <c r="BH39" s="23"/>
      <c r="BI39" s="23"/>
      <c r="BJ39" s="23"/>
      <c r="BK39" s="23"/>
      <c r="BL39" s="23"/>
      <c r="BM39" s="24">
        <v>0.7</v>
      </c>
      <c r="BO39" s="1">
        <v>4</v>
      </c>
      <c r="BP39" s="7" t="s">
        <v>524</v>
      </c>
      <c r="BQ39" s="38"/>
      <c r="BR39" s="38"/>
      <c r="BS39" s="38"/>
      <c r="BT39" s="38"/>
      <c r="BU39" s="38"/>
      <c r="BV39" s="38"/>
      <c r="BW39" s="38"/>
      <c r="BX39" s="225">
        <f>BX38*1.3</f>
        <v>0</v>
      </c>
      <c r="BY39" s="226"/>
      <c r="BZ39" s="15"/>
      <c r="CA39" s="13"/>
      <c r="CB39" s="32" t="s">
        <v>453</v>
      </c>
      <c r="CC39" s="16" t="s">
        <v>429</v>
      </c>
      <c r="CD39" s="16" t="s">
        <v>445</v>
      </c>
      <c r="CE39" s="16" t="s">
        <v>444</v>
      </c>
      <c r="CF39" s="16" t="s">
        <v>341</v>
      </c>
      <c r="CG39" s="16" t="s">
        <v>443</v>
      </c>
      <c r="CH39" s="16" t="s">
        <v>442</v>
      </c>
      <c r="CI39" s="16" t="s">
        <v>564</v>
      </c>
      <c r="CJ39" s="16" t="s">
        <v>466</v>
      </c>
      <c r="CK39" s="69" t="s">
        <v>603</v>
      </c>
      <c r="CL39" s="16" t="s">
        <v>438</v>
      </c>
      <c r="CM39" s="16" t="s">
        <v>440</v>
      </c>
      <c r="CN39" s="16" t="s">
        <v>441</v>
      </c>
      <c r="CO39" s="16" t="s">
        <v>506</v>
      </c>
      <c r="CP39" s="69" t="s">
        <v>604</v>
      </c>
      <c r="CQ39" s="7" t="s">
        <v>439</v>
      </c>
      <c r="CR39" s="56">
        <f>IF(B72=CK39,1,IF(B72=CJ39,1,IF(B72=CL39,1,IF(B72=CN39,1,IF(B72=CM39,1,IF(B72=CO39,1,IF(B72=CP39,1,IF(B72=CQ39,1,IF(B72=CH39,1,IF(B72=CG39,1,IF(B72=CC39,2,IF(B72=CF39,2,IF(B72=CE39,2,IF(B72=CD39,2,IF(B72=CI39,3,0)))))))))))))))</f>
        <v>0</v>
      </c>
      <c r="CS39" s="16">
        <f>IF(B72=CJ39,2,IF(B72=CO39,2,IF(B72=CK39,2,IF(B72=CP39,2,IF(B72=CL39,1,IF(B72=CQ39,1,IF(B72=CM39,1,0)))))))</f>
        <v>0</v>
      </c>
      <c r="CT39" s="16">
        <f>IF(B72=CO39,1,IF(B72=CP39,1,IF(B72=CQ39,1,0)))</f>
        <v>0</v>
      </c>
      <c r="CU39" s="7">
        <f t="shared" si="2"/>
        <v>0</v>
      </c>
      <c r="CV39" s="54">
        <f>IF(CR39=3,1,0)</f>
        <v>0</v>
      </c>
      <c r="CZ39" s="32" t="s">
        <v>453</v>
      </c>
      <c r="DA39" s="16">
        <f>B72</f>
        <v>0</v>
      </c>
      <c r="DB39" s="16">
        <f>CS39</f>
        <v>0</v>
      </c>
      <c r="DC39" s="16">
        <f>CR39</f>
        <v>0</v>
      </c>
      <c r="DD39" s="16">
        <f>G72</f>
        <v>0</v>
      </c>
      <c r="DE39" s="16">
        <f>IF(J72="Bedarf",1,0)</f>
        <v>0</v>
      </c>
      <c r="DF39" s="33">
        <f>N72</f>
        <v>0</v>
      </c>
      <c r="DG39" s="33">
        <f>L72</f>
        <v>0</v>
      </c>
      <c r="DH39" s="16">
        <f>IF(CU39=1,0,IF(DC39,IF(DG39,0,VLOOKUP(DC39,$CI$86:$CK$88,$BD$25+1,FALSE)),0))</f>
        <v>0</v>
      </c>
      <c r="DI39" s="16">
        <f>IF(DC39=1,VLOOKUP(DC39,$CI$86:$CK$88,$BD$25+1,FALSE),0)</f>
        <v>0</v>
      </c>
      <c r="DJ39" s="94" t="e">
        <f>IF($DF$60&gt;0,DH39/SUM($DH$13:$DH$41)*IF(AND($V$28&gt;0,$BD$100=2),$DF$66,$DF$60),0)</f>
        <v>#DIV/0!</v>
      </c>
      <c r="DK39" s="33" t="e">
        <f>MAX(DG39,DH39/SUM($DH$13:$DH$41)*IF(AND($V$28&gt;0,$BD$100=2),$DF$67,$DF$61))</f>
        <v>#DIV/0!</v>
      </c>
      <c r="DL39" s="16" t="e">
        <f t="shared" si="4"/>
        <v>#DIV/0!</v>
      </c>
      <c r="DM39" s="34" t="e">
        <f>IF($DF$62&gt;0,DH39/SUM($DH$13:$DH$41)*IF(AND($V$28&gt;0,$BD$100=2),$DF$68,$DF$62),0)</f>
        <v>#REF!</v>
      </c>
      <c r="DN39" s="17" t="e">
        <f>MAX(DG39,DH39/SUM($DH$13:$DH$41)*IF(AND($V$28&gt;0,$BD$100=2),$DF$69,$DF$63))</f>
        <v>#DIV/0!</v>
      </c>
      <c r="DO39" s="32" t="e">
        <f t="shared" si="3"/>
        <v>#DIV/0!</v>
      </c>
      <c r="DU39" s="74"/>
      <c r="DV39" s="74"/>
      <c r="DX39" s="74"/>
      <c r="DY39" s="74"/>
      <c r="DZ39" s="74"/>
      <c r="EA39" s="74"/>
      <c r="EB39" s="74"/>
      <c r="EC39" s="74"/>
      <c r="ED39" s="74">
        <v>9</v>
      </c>
      <c r="EE39" s="74">
        <v>9</v>
      </c>
      <c r="EF39" s="74">
        <v>9</v>
      </c>
      <c r="EG39" s="74">
        <v>9</v>
      </c>
      <c r="EH39" s="74">
        <v>9</v>
      </c>
      <c r="EI39" s="74">
        <v>9</v>
      </c>
      <c r="EJ39" s="74">
        <v>9</v>
      </c>
      <c r="EK39" s="74">
        <v>9</v>
      </c>
      <c r="EL39" s="74">
        <v>9</v>
      </c>
      <c r="EM39" s="74">
        <v>9</v>
      </c>
      <c r="EN39" s="74">
        <v>9</v>
      </c>
      <c r="EO39" s="74">
        <v>9</v>
      </c>
      <c r="EQ39" s="73" t="s">
        <v>574</v>
      </c>
      <c r="ER39" s="73" t="s">
        <v>574</v>
      </c>
      <c r="ES39" s="73" t="s">
        <v>642</v>
      </c>
      <c r="FD39" s="16">
        <v>30</v>
      </c>
      <c r="FE39" s="32">
        <f>R75</f>
        <v>0</v>
      </c>
      <c r="FF39" s="16">
        <f>(COUNTIF(FE$10:$FE39,FE39)=1)+MAX(FF$10:FF38)</f>
        <v>1</v>
      </c>
      <c r="FG39" s="118">
        <f t="shared" si="1"/>
        <v>0</v>
      </c>
    </row>
    <row r="40" spans="2:163" ht="15" customHeight="1" thickBot="1" x14ac:dyDescent="0.25">
      <c r="B40" s="360" t="s">
        <v>531</v>
      </c>
      <c r="C40" s="217"/>
      <c r="D40" s="208">
        <f>IF(BP19=1,IF(CB78=1,BP66,BP58),IF(BP19=2,IF(AND(CB78=1,CB83=1),BP66,BP58)))</f>
        <v>2</v>
      </c>
      <c r="E40" s="208"/>
      <c r="F40" s="129" t="s">
        <v>416</v>
      </c>
      <c r="G40" s="216" t="s">
        <v>693</v>
      </c>
      <c r="H40" s="217"/>
      <c r="I40" s="217"/>
      <c r="J40" s="285">
        <f>SUM(N46:N74)</f>
        <v>0</v>
      </c>
      <c r="K40" s="285"/>
      <c r="L40" s="133" t="str">
        <f>IF(J40,"m³/h","")</f>
        <v/>
      </c>
      <c r="M40" s="210" t="str">
        <f>IF(AND(J39,OR(CB78=2,CB78=0)),"Infiltrationsvolumenstrom bei qv,ab DIN 18017-3 MAX / MIN","anrechenbarer Infiltrationsvolumenstrom")</f>
        <v>anrechenbarer Infiltrationsvolumenstrom</v>
      </c>
      <c r="N40" s="211"/>
      <c r="O40" s="211"/>
      <c r="P40" s="211"/>
      <c r="Q40" s="211"/>
      <c r="R40" s="211"/>
      <c r="S40" s="211"/>
      <c r="T40" s="211"/>
      <c r="U40" s="211"/>
      <c r="V40" s="211"/>
      <c r="W40" s="211"/>
      <c r="X40" s="282">
        <f>IF(AND(J39,OR(CB78=2,CB78=0)),CG92,0)</f>
        <v>0</v>
      </c>
      <c r="Y40" s="282"/>
      <c r="Z40" s="134" t="str">
        <f>IF(X40,"m³/h","")</f>
        <v/>
      </c>
      <c r="AA40" s="204">
        <f>IF(BP19=1,IF(CB78=1,CG92,CG98),IF(AND(CB78=1,CB83=1),#REF!,#REF!))</f>
        <v>0</v>
      </c>
      <c r="AB40" s="205"/>
      <c r="AC40" s="135" t="s">
        <v>23</v>
      </c>
      <c r="AF40" s="4" t="s">
        <v>40</v>
      </c>
      <c r="AG40" s="5"/>
      <c r="AH40" s="5"/>
      <c r="AI40" s="5"/>
      <c r="AJ40" s="5"/>
      <c r="AK40" s="5"/>
      <c r="AL40" s="5"/>
      <c r="AM40" s="5"/>
      <c r="AN40" s="5"/>
      <c r="AO40" s="6"/>
      <c r="AR40" s="7" t="s">
        <v>70</v>
      </c>
      <c r="AS40" s="8"/>
      <c r="AT40" s="8"/>
      <c r="AU40" s="8"/>
      <c r="AV40" s="8"/>
      <c r="AW40" s="8"/>
      <c r="AX40" s="8"/>
      <c r="AY40" s="8"/>
      <c r="AZ40" s="8"/>
      <c r="BA40" s="9"/>
      <c r="BD40" s="26"/>
      <c r="BE40" s="23"/>
      <c r="BF40" s="23"/>
      <c r="BG40" s="23"/>
      <c r="BH40" s="23"/>
      <c r="BI40" s="23"/>
      <c r="BJ40" s="23"/>
      <c r="BK40" s="23"/>
      <c r="BL40" s="23"/>
      <c r="BM40" s="24">
        <v>0.8</v>
      </c>
      <c r="CA40" s="2"/>
      <c r="CB40" s="32"/>
      <c r="CC40" s="16"/>
      <c r="CD40" s="16"/>
      <c r="CE40" s="16"/>
      <c r="CF40" s="16"/>
      <c r="CG40" s="16"/>
      <c r="CH40" s="16"/>
      <c r="CI40" s="16"/>
      <c r="CJ40" s="16"/>
      <c r="CK40" s="69"/>
      <c r="CL40" s="16"/>
      <c r="CM40" s="16"/>
      <c r="CN40" s="16"/>
      <c r="CO40" s="16"/>
      <c r="CP40" s="69"/>
      <c r="CQ40" s="7"/>
      <c r="CR40" s="90"/>
      <c r="CS40" s="91"/>
      <c r="CT40" s="91"/>
      <c r="CU40" s="7">
        <f t="shared" si="2"/>
        <v>0</v>
      </c>
      <c r="CV40" s="92"/>
      <c r="CZ40" s="32"/>
      <c r="DA40" s="16"/>
      <c r="DB40" s="16"/>
      <c r="DC40" s="16"/>
      <c r="DD40" s="16"/>
      <c r="DE40" s="16"/>
      <c r="DF40" s="33"/>
      <c r="DG40" s="33"/>
      <c r="DH40" s="16"/>
      <c r="DI40" s="16"/>
      <c r="DJ40" s="94"/>
      <c r="DK40" s="33"/>
      <c r="DL40" s="16">
        <f t="shared" si="4"/>
        <v>0</v>
      </c>
      <c r="DM40" s="34"/>
      <c r="DN40" s="17"/>
      <c r="DO40" s="32">
        <f t="shared" si="3"/>
        <v>0</v>
      </c>
      <c r="DU40" s="74"/>
      <c r="DV40" s="74"/>
      <c r="DX40" s="74"/>
      <c r="DY40" s="74"/>
      <c r="DZ40" s="74"/>
      <c r="EA40" s="74"/>
      <c r="EB40" s="74"/>
      <c r="EC40" s="74"/>
      <c r="ED40" s="74"/>
      <c r="EE40" s="74">
        <v>10</v>
      </c>
      <c r="EF40" s="74">
        <v>10</v>
      </c>
      <c r="EG40" s="74">
        <v>10</v>
      </c>
      <c r="EH40" s="74">
        <v>10</v>
      </c>
      <c r="EI40" s="74">
        <v>10</v>
      </c>
      <c r="EJ40" s="74">
        <v>10</v>
      </c>
      <c r="EK40" s="74">
        <v>10</v>
      </c>
      <c r="EL40" s="74">
        <v>10</v>
      </c>
      <c r="EM40" s="74">
        <v>10</v>
      </c>
      <c r="EN40" s="74">
        <v>10</v>
      </c>
      <c r="EO40" s="74">
        <v>10</v>
      </c>
      <c r="EQ40" s="73" t="s">
        <v>575</v>
      </c>
      <c r="ER40" s="73" t="s">
        <v>575</v>
      </c>
      <c r="FD40" s="245" t="s">
        <v>679</v>
      </c>
      <c r="FE40" s="245"/>
      <c r="FF40" s="245"/>
      <c r="FG40" s="245"/>
    </row>
    <row r="41" spans="2:163" ht="15" customHeight="1" thickBot="1" x14ac:dyDescent="0.25">
      <c r="B41" s="361" t="s">
        <v>507</v>
      </c>
      <c r="C41" s="362"/>
      <c r="D41" s="372" t="s">
        <v>695</v>
      </c>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4"/>
      <c r="AF41" s="4" t="s">
        <v>41</v>
      </c>
      <c r="AG41" s="5"/>
      <c r="AH41" s="5"/>
      <c r="AI41" s="5"/>
      <c r="AJ41" s="5"/>
      <c r="AK41" s="5"/>
      <c r="AL41" s="5"/>
      <c r="AM41" s="5"/>
      <c r="AN41" s="5"/>
      <c r="AO41" s="6"/>
      <c r="AQ41" s="21"/>
      <c r="AR41" s="7" t="s">
        <v>71</v>
      </c>
      <c r="AS41" s="8"/>
      <c r="AT41" s="8"/>
      <c r="AU41" s="8"/>
      <c r="AV41" s="8"/>
      <c r="AW41" s="8"/>
      <c r="AX41" s="8"/>
      <c r="AY41" s="8"/>
      <c r="AZ41" s="8"/>
      <c r="BA41" s="9"/>
      <c r="BD41" s="26"/>
      <c r="BE41" s="23"/>
      <c r="BF41" s="23"/>
      <c r="BG41" s="23"/>
      <c r="BH41" s="23"/>
      <c r="BI41" s="23"/>
      <c r="BJ41" s="23"/>
      <c r="BK41" s="23"/>
      <c r="BL41" s="23"/>
      <c r="BM41" s="24">
        <v>0.9</v>
      </c>
      <c r="BO41" s="27"/>
      <c r="BP41" s="227" t="s">
        <v>562</v>
      </c>
      <c r="BQ41" s="228"/>
      <c r="BR41" s="228"/>
      <c r="BS41" s="228"/>
      <c r="BT41" s="228"/>
      <c r="BU41" s="228"/>
      <c r="BV41" s="228"/>
      <c r="BW41" s="228"/>
      <c r="BX41" s="228"/>
      <c r="BY41" s="229"/>
      <c r="CA41" s="15"/>
      <c r="CB41" s="32" t="s">
        <v>454</v>
      </c>
      <c r="CC41" s="16" t="s">
        <v>429</v>
      </c>
      <c r="CD41" s="16" t="s">
        <v>445</v>
      </c>
      <c r="CE41" s="16" t="s">
        <v>444</v>
      </c>
      <c r="CF41" s="16" t="s">
        <v>341</v>
      </c>
      <c r="CG41" s="16" t="s">
        <v>443</v>
      </c>
      <c r="CH41" s="16" t="s">
        <v>442</v>
      </c>
      <c r="CI41" s="16" t="s">
        <v>564</v>
      </c>
      <c r="CJ41" s="16" t="s">
        <v>466</v>
      </c>
      <c r="CK41" s="69" t="s">
        <v>603</v>
      </c>
      <c r="CL41" s="16" t="s">
        <v>438</v>
      </c>
      <c r="CM41" s="16" t="s">
        <v>440</v>
      </c>
      <c r="CN41" s="16" t="s">
        <v>441</v>
      </c>
      <c r="CO41" s="16" t="s">
        <v>506</v>
      </c>
      <c r="CP41" s="69" t="s">
        <v>604</v>
      </c>
      <c r="CQ41" s="7" t="s">
        <v>439</v>
      </c>
      <c r="CR41" s="59">
        <f>IF(B74=CK41,1,IF(B74=CJ41,1,IF(B74=CL41,1,IF(B74=CN41,1,IF(B74=CM41,1,IF(B74=CO41,1,IF(B74=CP41,1,IF(B74=CQ41,1,IF(B74=CH41,1,IF(B74=CG41,1,IF(B74=CC41,2,IF(B74=CF41,2,IF(B74=CE41,2,IF(B74=CD41,2,IF(B74=CI41,3,0)))))))))))))))</f>
        <v>0</v>
      </c>
      <c r="CS41" s="57">
        <f>IF(B74=CJ41,2,IF(B74=CO41,2,IF(B74=CK41,2,IF(B74=CP41,2,IF(B74=CL41,1,IF(B74=CQ41,1,IF(B74=CM41,1,0)))))))</f>
        <v>0</v>
      </c>
      <c r="CT41" s="57">
        <f>IF(B74=CO41,1,IF(B74=CP41,1,IF(B74=CQ41,1,0)))</f>
        <v>0</v>
      </c>
      <c r="CU41" s="7">
        <f t="shared" si="2"/>
        <v>0</v>
      </c>
      <c r="CV41" s="58">
        <f>IF(CR41=3,1,0)</f>
        <v>0</v>
      </c>
      <c r="CZ41" s="32" t="s">
        <v>454</v>
      </c>
      <c r="DA41" s="16">
        <f>B74</f>
        <v>0</v>
      </c>
      <c r="DB41" s="16">
        <f>CS41</f>
        <v>0</v>
      </c>
      <c r="DC41" s="16">
        <f>CR41</f>
        <v>0</v>
      </c>
      <c r="DD41" s="16">
        <f>G74</f>
        <v>0</v>
      </c>
      <c r="DE41" s="16">
        <f>IF(J74="Bedarf",1,0)</f>
        <v>0</v>
      </c>
      <c r="DF41" s="33">
        <f>N74</f>
        <v>0</v>
      </c>
      <c r="DG41" s="33">
        <f>L74</f>
        <v>0</v>
      </c>
      <c r="DH41" s="16">
        <f>IF(CU41=1,0,IF(DC41,IF(DG41,0,VLOOKUP(DC41,$CI$86:$CK$88,$BD$25+1,FALSE)),0))</f>
        <v>0</v>
      </c>
      <c r="DI41" s="16">
        <f>IF(DC41=1,VLOOKUP(DC41,$CI$86:$CK$88,$BD$25+1,FALSE),0)</f>
        <v>0</v>
      </c>
      <c r="DJ41" s="94" t="e">
        <f>IF($DF$60&gt;0,DH41/SUM($DH$13:$DH$41)*IF(AND($V$28&gt;0,$BD$100=2),$DF$66,$DF$60),0)</f>
        <v>#DIV/0!</v>
      </c>
      <c r="DK41" s="33" t="e">
        <f>MAX(DG41,DH41/SUM($DH$13:$DH$41)*IF(AND($V$28&gt;0,$BD$100=2),$DF$67,$DF$61))</f>
        <v>#DIV/0!</v>
      </c>
      <c r="DL41" s="16" t="e">
        <f t="shared" si="4"/>
        <v>#DIV/0!</v>
      </c>
      <c r="DM41" s="34" t="e">
        <f>IF($DF$62&gt;0,DH41/SUM($DH$13:$DH$41)*IF(AND($V$28&gt;0,$BD$100=2),$DF$68,$DF$62),0)</f>
        <v>#REF!</v>
      </c>
      <c r="DN41" s="17" t="e">
        <f>MAX(DG41,DH41/SUM($DH$13:$DH$41)*IF(AND($V$28&gt;0,$BD$100=2),$DF$69,$DF$63))</f>
        <v>#DIV/0!</v>
      </c>
      <c r="DO41" s="32" t="e">
        <f t="shared" si="3"/>
        <v>#DIV/0!</v>
      </c>
      <c r="DU41" s="74"/>
      <c r="DV41" s="74"/>
      <c r="DX41" s="74"/>
      <c r="DY41" s="74"/>
      <c r="DZ41" s="74"/>
      <c r="EA41" s="74"/>
      <c r="EB41" s="74"/>
      <c r="EC41" s="74"/>
      <c r="ED41" s="74"/>
      <c r="EE41" s="74"/>
      <c r="EF41" s="74">
        <v>11</v>
      </c>
      <c r="EG41" s="74">
        <v>11</v>
      </c>
      <c r="EH41" s="74">
        <v>11</v>
      </c>
      <c r="EI41" s="74">
        <v>11</v>
      </c>
      <c r="EJ41" s="74">
        <v>11</v>
      </c>
      <c r="EK41" s="74">
        <v>11</v>
      </c>
      <c r="EL41" s="74">
        <v>11</v>
      </c>
      <c r="EM41" s="74">
        <v>11</v>
      </c>
      <c r="EN41" s="74">
        <v>11</v>
      </c>
      <c r="EO41" s="74">
        <v>11</v>
      </c>
      <c r="EQ41" s="73" t="s">
        <v>576</v>
      </c>
      <c r="ER41" s="73" t="s">
        <v>576</v>
      </c>
    </row>
    <row r="42" spans="2:163" ht="15" customHeight="1" x14ac:dyDescent="0.2">
      <c r="B42" s="363"/>
      <c r="C42" s="364"/>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9"/>
      <c r="AF42" s="4" t="s">
        <v>42</v>
      </c>
      <c r="AG42" s="8"/>
      <c r="AH42" s="8"/>
      <c r="AI42" s="8"/>
      <c r="AJ42" s="8"/>
      <c r="AK42" s="8"/>
      <c r="AL42" s="8"/>
      <c r="AM42" s="8"/>
      <c r="AN42" s="8"/>
      <c r="AO42" s="9"/>
      <c r="AQ42" s="21"/>
      <c r="AR42" s="7" t="s">
        <v>72</v>
      </c>
      <c r="AS42" s="8"/>
      <c r="AT42" s="8"/>
      <c r="AU42" s="8"/>
      <c r="AV42" s="8"/>
      <c r="AW42" s="8"/>
      <c r="AX42" s="8"/>
      <c r="AY42" s="8"/>
      <c r="AZ42" s="8"/>
      <c r="BA42" s="9"/>
      <c r="BD42" s="26"/>
      <c r="BE42" s="23"/>
      <c r="BF42" s="23"/>
      <c r="BG42" s="23"/>
      <c r="BH42" s="23"/>
      <c r="BI42" s="23"/>
      <c r="BJ42" s="23"/>
      <c r="BK42" s="23"/>
      <c r="BL42" s="23"/>
      <c r="BM42" s="24">
        <v>1</v>
      </c>
      <c r="BO42" s="27"/>
      <c r="BP42" s="16">
        <v>1</v>
      </c>
      <c r="BQ42" s="29">
        <v>0.04</v>
      </c>
      <c r="BR42" s="29">
        <v>0.08</v>
      </c>
      <c r="BS42" s="16"/>
      <c r="BT42" s="17"/>
      <c r="BU42" s="16"/>
      <c r="BV42" s="16"/>
      <c r="BW42" s="16"/>
      <c r="BX42" s="16"/>
      <c r="BY42" s="16"/>
      <c r="CA42" s="15"/>
      <c r="CP42" s="35"/>
      <c r="CV42" s="35"/>
      <c r="CW42" s="35"/>
      <c r="CX42" s="35"/>
      <c r="DC42" s="12"/>
      <c r="DU42" s="74"/>
      <c r="DV42" s="74"/>
      <c r="DX42" s="74"/>
      <c r="DY42" s="74"/>
      <c r="DZ42" s="74"/>
      <c r="EA42" s="74"/>
      <c r="EB42" s="74"/>
      <c r="EC42" s="74"/>
      <c r="ED42" s="74"/>
      <c r="EE42" s="74"/>
      <c r="EF42" s="74"/>
      <c r="EG42" s="74">
        <v>12</v>
      </c>
      <c r="EH42" s="74">
        <v>12</v>
      </c>
      <c r="EI42" s="74">
        <v>12</v>
      </c>
      <c r="EJ42" s="74">
        <v>12</v>
      </c>
      <c r="EK42" s="74">
        <v>12</v>
      </c>
      <c r="EL42" s="74">
        <v>12</v>
      </c>
      <c r="EM42" s="74">
        <v>12</v>
      </c>
      <c r="EN42" s="74">
        <v>12</v>
      </c>
      <c r="EO42" s="74">
        <v>12</v>
      </c>
      <c r="EQ42" s="73" t="s">
        <v>577</v>
      </c>
      <c r="ER42" s="73" t="s">
        <v>577</v>
      </c>
    </row>
    <row r="43" spans="2:163" ht="15" customHeight="1" x14ac:dyDescent="0.2">
      <c r="B43" s="363"/>
      <c r="C43" s="364"/>
      <c r="D43" s="278" t="str">
        <f>IF(V28&gt;0,DU17,"")</f>
        <v/>
      </c>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9"/>
      <c r="AF43" s="4" t="s">
        <v>43</v>
      </c>
      <c r="AG43" s="5"/>
      <c r="AH43" s="5"/>
      <c r="AI43" s="5"/>
      <c r="AJ43" s="5"/>
      <c r="AK43" s="5"/>
      <c r="AL43" s="5"/>
      <c r="AM43" s="5"/>
      <c r="AN43" s="5"/>
      <c r="AO43" s="6"/>
      <c r="AQ43" s="28"/>
      <c r="AR43" s="7" t="s">
        <v>73</v>
      </c>
      <c r="AS43" s="8"/>
      <c r="AT43" s="8"/>
      <c r="AU43" s="8"/>
      <c r="AV43" s="8"/>
      <c r="AW43" s="8"/>
      <c r="AX43" s="8"/>
      <c r="AY43" s="8"/>
      <c r="AZ43" s="8"/>
      <c r="BA43" s="9"/>
      <c r="BB43" s="2"/>
      <c r="BD43" s="7"/>
      <c r="BE43" s="8"/>
      <c r="BF43" s="8"/>
      <c r="BG43" s="8"/>
      <c r="BH43" s="8"/>
      <c r="BI43" s="8"/>
      <c r="BJ43" s="8"/>
      <c r="BK43" s="8"/>
      <c r="BL43" s="8"/>
      <c r="BM43" s="24">
        <v>1.1000000000000001</v>
      </c>
      <c r="BO43" s="27"/>
      <c r="BP43" s="16">
        <v>2</v>
      </c>
      <c r="BQ43" s="29">
        <v>0.06</v>
      </c>
      <c r="BR43" s="29">
        <v>0.09</v>
      </c>
      <c r="BS43" s="16"/>
      <c r="BT43" s="17"/>
      <c r="BU43" s="16"/>
      <c r="BV43" s="16"/>
      <c r="BW43" s="16"/>
      <c r="BX43" s="16"/>
      <c r="BY43" s="16"/>
      <c r="CA43" s="15"/>
      <c r="CB43" s="245" t="s">
        <v>467</v>
      </c>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DD43" s="39" t="s">
        <v>564</v>
      </c>
      <c r="DE43" s="39" t="str">
        <f>IF(SUM(CV13:CV41)&gt;0,"ja","")</f>
        <v/>
      </c>
      <c r="DF43" s="12"/>
      <c r="DU43" s="74"/>
      <c r="DV43" s="74"/>
      <c r="DX43" s="74"/>
      <c r="DY43" s="74"/>
      <c r="DZ43" s="74"/>
      <c r="EA43" s="74"/>
      <c r="EB43" s="74"/>
      <c r="EC43" s="74"/>
      <c r="ED43" s="74"/>
      <c r="EE43" s="74"/>
      <c r="EF43" s="74"/>
      <c r="EG43" s="74"/>
      <c r="EH43" s="74">
        <v>13</v>
      </c>
      <c r="EI43" s="74">
        <v>13</v>
      </c>
      <c r="EJ43" s="74">
        <v>13</v>
      </c>
      <c r="EK43" s="74">
        <v>13</v>
      </c>
      <c r="EL43" s="74">
        <v>13</v>
      </c>
      <c r="EM43" s="74">
        <v>13</v>
      </c>
      <c r="EN43" s="74">
        <v>13</v>
      </c>
      <c r="EO43" s="74">
        <v>13</v>
      </c>
      <c r="EQ43" s="100" t="s">
        <v>640</v>
      </c>
      <c r="ER43" s="100" t="s">
        <v>640</v>
      </c>
    </row>
    <row r="44" spans="2:163" ht="15" customHeight="1" x14ac:dyDescent="0.2">
      <c r="B44" s="363"/>
      <c r="C44" s="364"/>
      <c r="D44" s="278" t="str">
        <f>IF(SUM(DE13:DE41)&gt;0,DU18,"")</f>
        <v/>
      </c>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9"/>
      <c r="AF44" s="7" t="s">
        <v>348</v>
      </c>
      <c r="AG44" s="5"/>
      <c r="AH44" s="5"/>
      <c r="AI44" s="5"/>
      <c r="AJ44" s="5"/>
      <c r="AK44" s="5"/>
      <c r="AL44" s="5"/>
      <c r="AM44" s="5"/>
      <c r="AN44" s="5"/>
      <c r="AO44" s="6"/>
      <c r="AQ44" s="28"/>
      <c r="AR44" s="7" t="s">
        <v>76</v>
      </c>
      <c r="AS44" s="8"/>
      <c r="AT44" s="8"/>
      <c r="AU44" s="8"/>
      <c r="AV44" s="8"/>
      <c r="AW44" s="8"/>
      <c r="AX44" s="8"/>
      <c r="AY44" s="8"/>
      <c r="AZ44" s="8"/>
      <c r="BA44" s="9"/>
      <c r="BD44" s="7"/>
      <c r="BE44" s="8"/>
      <c r="BF44" s="8"/>
      <c r="BG44" s="8"/>
      <c r="BH44" s="8"/>
      <c r="BI44" s="8"/>
      <c r="BJ44" s="8"/>
      <c r="BK44" s="8"/>
      <c r="BL44" s="8"/>
      <c r="BM44" s="24">
        <v>1.2</v>
      </c>
      <c r="BO44" s="27"/>
      <c r="BP44" s="219">
        <f>VLOOKUP(BD75,BP42:BR43,BD14+1)</f>
        <v>0.06</v>
      </c>
      <c r="BQ44" s="220"/>
      <c r="BR44" s="220"/>
      <c r="BS44" s="220"/>
      <c r="BT44" s="220"/>
      <c r="BU44" s="220"/>
      <c r="BV44" s="220"/>
      <c r="BW44" s="220"/>
      <c r="BX44" s="220"/>
      <c r="BY44" s="221"/>
      <c r="CA44" s="13"/>
      <c r="CB44" s="110"/>
      <c r="CC44" s="370" t="s">
        <v>468</v>
      </c>
      <c r="CD44" s="371"/>
      <c r="CE44" s="371"/>
      <c r="CF44" s="368" t="s">
        <v>461</v>
      </c>
      <c r="CG44" s="139"/>
      <c r="CH44" s="139"/>
      <c r="CI44" s="139"/>
      <c r="CJ44" s="139"/>
      <c r="CK44" s="139"/>
      <c r="CL44" s="139"/>
      <c r="CM44" s="139"/>
      <c r="CN44" s="139"/>
      <c r="CO44" s="369"/>
      <c r="CP44" s="368" t="s">
        <v>462</v>
      </c>
      <c r="CQ44" s="139"/>
      <c r="CR44" s="139"/>
      <c r="CS44" s="139"/>
      <c r="CT44" s="139"/>
      <c r="CU44" s="139"/>
      <c r="CV44" s="139"/>
      <c r="CW44" s="139"/>
      <c r="CX44" s="139"/>
      <c r="CY44" s="369"/>
      <c r="DD44" s="1" t="s">
        <v>455</v>
      </c>
      <c r="DE44" s="36">
        <f>V25</f>
        <v>0</v>
      </c>
      <c r="DF44" s="1" t="s">
        <v>14</v>
      </c>
      <c r="DU44" s="74"/>
      <c r="DV44" s="74"/>
      <c r="DX44" s="74"/>
      <c r="DY44" s="74"/>
      <c r="DZ44" s="74"/>
      <c r="EA44" s="74"/>
      <c r="EB44" s="74"/>
      <c r="EC44" s="74"/>
      <c r="ED44" s="74"/>
      <c r="EE44" s="74"/>
      <c r="EF44" s="74"/>
      <c r="EG44" s="74"/>
      <c r="EH44" s="74"/>
      <c r="EI44" s="74">
        <v>14</v>
      </c>
      <c r="EJ44" s="74">
        <v>14</v>
      </c>
      <c r="EK44" s="74">
        <v>14</v>
      </c>
      <c r="EL44" s="74">
        <v>14</v>
      </c>
      <c r="EM44" s="74">
        <v>14</v>
      </c>
      <c r="EN44" s="74">
        <v>14</v>
      </c>
      <c r="EO44" s="74">
        <v>14</v>
      </c>
      <c r="EQ44" s="73" t="s">
        <v>641</v>
      </c>
      <c r="ER44" s="73" t="s">
        <v>641</v>
      </c>
    </row>
    <row r="45" spans="2:163" ht="15" customHeight="1" thickBot="1" x14ac:dyDescent="0.25">
      <c r="B45" s="365"/>
      <c r="C45" s="366"/>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1"/>
      <c r="AF45" s="4" t="s">
        <v>44</v>
      </c>
      <c r="AG45" s="5"/>
      <c r="AH45" s="5"/>
      <c r="AI45" s="5"/>
      <c r="AJ45" s="5"/>
      <c r="AK45" s="5"/>
      <c r="AL45" s="5"/>
      <c r="AM45" s="5"/>
      <c r="AN45" s="5"/>
      <c r="AO45" s="6"/>
      <c r="AQ45" s="28"/>
      <c r="AR45" s="7" t="s">
        <v>77</v>
      </c>
      <c r="AS45" s="8"/>
      <c r="AT45" s="8"/>
      <c r="AU45" s="8"/>
      <c r="AV45" s="8"/>
      <c r="AW45" s="8"/>
      <c r="AX45" s="8"/>
      <c r="AY45" s="8"/>
      <c r="AZ45" s="8"/>
      <c r="BA45" s="9"/>
      <c r="BD45" s="7"/>
      <c r="BE45" s="8"/>
      <c r="BF45" s="8"/>
      <c r="BG45" s="8"/>
      <c r="BH45" s="8"/>
      <c r="BI45" s="8"/>
      <c r="BJ45" s="8"/>
      <c r="BK45" s="8"/>
      <c r="BL45" s="8"/>
      <c r="BM45" s="24">
        <v>1.3</v>
      </c>
      <c r="BO45" s="27"/>
      <c r="BP45" s="27"/>
      <c r="CA45" s="13"/>
      <c r="CB45" s="32" t="s">
        <v>430</v>
      </c>
      <c r="CC45" s="16">
        <f>IF(SUM($CU$13:$CU$41)&lt;1,CS13,0)</f>
        <v>0</v>
      </c>
      <c r="CD45" s="108" t="str">
        <f>IF(CC45,"dauernd","")</f>
        <v/>
      </c>
      <c r="CE45" s="111" t="str">
        <f>IF(CC45,"Bedarf","")</f>
        <v/>
      </c>
      <c r="CF45" s="112" t="str">
        <f>IF(J46="dauernd",7.5,"")</f>
        <v/>
      </c>
      <c r="CG45" s="108" t="str">
        <f>IF(J46="dauernd",10,"")</f>
        <v/>
      </c>
      <c r="CH45" s="32" t="str">
        <f>IF(J46="dauernd",15,"")</f>
        <v/>
      </c>
      <c r="CI45" s="32" t="str">
        <f>IF(J46="dauernd",20,"")</f>
        <v/>
      </c>
      <c r="CJ45" s="32" t="str">
        <f>IF(J46="dauernd",25,"")</f>
        <v/>
      </c>
      <c r="CK45" s="32" t="str">
        <f>IF(J46="dauernd",30,"")</f>
        <v/>
      </c>
      <c r="CL45" s="32" t="str">
        <f>IF(J46="dauernd",35,"")</f>
        <v/>
      </c>
      <c r="CM45" s="16" t="str">
        <f>IF(J46="dauernd",40,"")</f>
        <v/>
      </c>
      <c r="CN45" s="32" t="str">
        <f>IF(J46="dauernd",50,"")</f>
        <v/>
      </c>
      <c r="CO45" s="32" t="str">
        <f>IF(J46="dauernd",60,"")</f>
        <v/>
      </c>
      <c r="CP45" s="116" t="str">
        <f t="shared" ref="CP45" si="5">IF(CC45,20,"")</f>
        <v/>
      </c>
      <c r="CQ45" s="32" t="str">
        <f t="shared" ref="CQ45" si="6">IF(CC45,30,"")</f>
        <v/>
      </c>
      <c r="CR45" s="32" t="str">
        <f t="shared" ref="CR45" si="7">IF(CC45,40,"")</f>
        <v/>
      </c>
      <c r="CS45" s="32" t="str">
        <f t="shared" ref="CS45" si="8">IF(CC45,45,"")</f>
        <v/>
      </c>
      <c r="CT45" s="32" t="str">
        <f t="shared" ref="CT45" si="9">IF(CC45,50,"")</f>
        <v/>
      </c>
      <c r="CU45" s="32" t="str">
        <f t="shared" ref="CU45" si="10">IF(CC45,60,"")</f>
        <v/>
      </c>
      <c r="CV45" s="32" t="str">
        <f t="shared" ref="CV45" si="11">IF(CC45,65,"")</f>
        <v/>
      </c>
      <c r="CW45" s="32" t="str">
        <f t="shared" ref="CW45" si="12">IF(CC45,70,"")</f>
        <v/>
      </c>
      <c r="CX45" s="16" t="str">
        <f t="shared" ref="CX45" si="13">IF(CC45,80,"")</f>
        <v/>
      </c>
      <c r="CY45" s="32" t="str">
        <f t="shared" ref="CY45" si="14">IF(CC45,100,"")</f>
        <v/>
      </c>
      <c r="DE45" s="1" t="s">
        <v>457</v>
      </c>
      <c r="DF45" s="1">
        <f>V27</f>
        <v>0</v>
      </c>
      <c r="DG45" s="1" t="s">
        <v>14</v>
      </c>
      <c r="DU45" s="74"/>
      <c r="DV45" s="74"/>
      <c r="DX45" s="74"/>
      <c r="DY45" s="74"/>
      <c r="DZ45" s="74"/>
      <c r="EA45" s="74"/>
      <c r="EB45" s="74"/>
      <c r="EC45" s="74"/>
      <c r="ED45" s="74"/>
      <c r="EE45" s="74"/>
      <c r="EF45" s="74"/>
      <c r="EG45" s="74"/>
      <c r="EH45" s="74"/>
      <c r="EI45" s="74"/>
      <c r="EJ45" s="74">
        <v>15</v>
      </c>
      <c r="EK45" s="74">
        <v>15</v>
      </c>
      <c r="EL45" s="74">
        <v>15</v>
      </c>
      <c r="EM45" s="74">
        <v>15</v>
      </c>
      <c r="EN45" s="74">
        <v>15</v>
      </c>
      <c r="EO45" s="74">
        <v>15</v>
      </c>
      <c r="EQ45" s="73" t="s">
        <v>642</v>
      </c>
      <c r="ER45" s="73" t="s">
        <v>642</v>
      </c>
    </row>
    <row r="46" spans="2:163" ht="15" hidden="1" customHeight="1" x14ac:dyDescent="0.2">
      <c r="B46" s="275"/>
      <c r="C46" s="276"/>
      <c r="D46" s="276"/>
      <c r="E46" s="277"/>
      <c r="F46" s="357"/>
      <c r="G46" s="358"/>
      <c r="H46" s="358"/>
      <c r="I46" s="359"/>
      <c r="J46" s="355"/>
      <c r="K46" s="356"/>
      <c r="L46" s="76"/>
      <c r="M46" s="77"/>
      <c r="N46" s="76"/>
      <c r="O46" s="79"/>
      <c r="P46" s="95"/>
      <c r="Q46" s="87"/>
      <c r="R46" s="275"/>
      <c r="S46" s="276"/>
      <c r="T46" s="276"/>
      <c r="U46" s="276"/>
      <c r="V46" s="276"/>
      <c r="W46" s="277"/>
      <c r="X46" s="83"/>
      <c r="Y46" s="84"/>
      <c r="Z46" s="88"/>
      <c r="AA46" s="77"/>
      <c r="AB46" s="78"/>
      <c r="AC46" s="79"/>
      <c r="AF46" s="4" t="s">
        <v>45</v>
      </c>
      <c r="AG46" s="5"/>
      <c r="AH46" s="5"/>
      <c r="AI46" s="5"/>
      <c r="AJ46" s="5"/>
      <c r="AK46" s="5"/>
      <c r="AL46" s="5"/>
      <c r="AM46" s="5"/>
      <c r="AN46" s="5"/>
      <c r="AO46" s="6"/>
      <c r="AQ46" s="28"/>
      <c r="AR46" s="7" t="s">
        <v>79</v>
      </c>
      <c r="AS46" s="8"/>
      <c r="AT46" s="8"/>
      <c r="AU46" s="8"/>
      <c r="AV46" s="8"/>
      <c r="AW46" s="8"/>
      <c r="AX46" s="8"/>
      <c r="AY46" s="8"/>
      <c r="AZ46" s="8"/>
      <c r="BA46" s="9"/>
      <c r="BD46" s="7"/>
      <c r="BE46" s="8"/>
      <c r="BF46" s="8"/>
      <c r="BG46" s="8"/>
      <c r="BH46" s="8"/>
      <c r="BI46" s="8"/>
      <c r="BJ46" s="8"/>
      <c r="BK46" s="8"/>
      <c r="BL46" s="8"/>
      <c r="BM46" s="24">
        <v>1.4</v>
      </c>
      <c r="BO46" s="27"/>
      <c r="BP46" s="227" t="s">
        <v>479</v>
      </c>
      <c r="BQ46" s="228"/>
      <c r="BR46" s="228"/>
      <c r="BS46" s="228"/>
      <c r="BT46" s="228"/>
      <c r="BU46" s="228"/>
      <c r="BV46" s="228"/>
      <c r="BW46" s="228"/>
      <c r="BX46" s="228"/>
      <c r="BY46" s="229"/>
      <c r="CA46" s="13"/>
      <c r="CB46" s="32"/>
      <c r="CC46" s="16"/>
      <c r="CD46" s="108"/>
      <c r="CE46" s="111"/>
      <c r="CF46" s="112"/>
      <c r="CG46" s="108"/>
      <c r="CH46" s="32"/>
      <c r="CI46" s="32"/>
      <c r="CJ46" s="32"/>
      <c r="CK46" s="32"/>
      <c r="CL46" s="32"/>
      <c r="CM46" s="16"/>
      <c r="CN46" s="32"/>
      <c r="CO46" s="32"/>
      <c r="CP46" s="116"/>
      <c r="CQ46" s="32"/>
      <c r="CR46" s="32"/>
      <c r="CS46" s="32"/>
      <c r="CT46" s="32"/>
      <c r="CU46" s="32"/>
      <c r="CV46" s="32"/>
      <c r="CW46" s="32"/>
      <c r="CX46" s="16"/>
      <c r="CY46" s="32"/>
      <c r="DE46" s="1" t="s">
        <v>458</v>
      </c>
      <c r="DF46" s="36">
        <f>ROUND(DE44*DF45,1)</f>
        <v>0</v>
      </c>
      <c r="DG46" s="1" t="s">
        <v>417</v>
      </c>
      <c r="DU46" s="74"/>
      <c r="DV46" s="74"/>
      <c r="DX46" s="74"/>
      <c r="DY46" s="74"/>
      <c r="DZ46" s="74"/>
      <c r="EA46" s="74"/>
      <c r="EB46" s="74"/>
      <c r="EC46" s="74"/>
      <c r="ED46" s="74"/>
      <c r="EE46" s="74"/>
      <c r="EF46" s="74"/>
      <c r="EG46" s="74"/>
      <c r="EH46" s="74"/>
      <c r="EI46" s="74"/>
      <c r="EJ46" s="74"/>
      <c r="EK46" s="74">
        <v>16</v>
      </c>
      <c r="EL46" s="74">
        <v>16</v>
      </c>
      <c r="EM46" s="74">
        <v>16</v>
      </c>
      <c r="EN46" s="74">
        <v>16</v>
      </c>
      <c r="EO46" s="74">
        <v>16</v>
      </c>
      <c r="EQ46" s="101" t="s">
        <v>643</v>
      </c>
      <c r="ER46" s="101" t="s">
        <v>643</v>
      </c>
    </row>
    <row r="47" spans="2:163" ht="15" hidden="1" customHeight="1" x14ac:dyDescent="0.2">
      <c r="B47" s="148"/>
      <c r="C47" s="149"/>
      <c r="D47" s="149"/>
      <c r="E47" s="149"/>
      <c r="F47" s="149"/>
      <c r="G47" s="149"/>
      <c r="H47" s="149"/>
      <c r="I47" s="149"/>
      <c r="J47" s="149"/>
      <c r="K47" s="149"/>
      <c r="L47" s="149"/>
      <c r="M47" s="149"/>
      <c r="N47" s="149"/>
      <c r="O47" s="149"/>
      <c r="P47" s="149"/>
      <c r="Q47" s="150"/>
      <c r="R47" s="136"/>
      <c r="S47" s="137"/>
      <c r="T47" s="137"/>
      <c r="U47" s="137"/>
      <c r="V47" s="137"/>
      <c r="W47" s="138"/>
      <c r="X47" s="85"/>
      <c r="Y47" s="86"/>
      <c r="Z47" s="89"/>
      <c r="AA47" s="82"/>
      <c r="AB47" s="80"/>
      <c r="AC47" s="97"/>
      <c r="AF47" s="4" t="s">
        <v>46</v>
      </c>
      <c r="AG47" s="5"/>
      <c r="AH47" s="5"/>
      <c r="AI47" s="5"/>
      <c r="AJ47" s="5"/>
      <c r="AK47" s="5"/>
      <c r="AL47" s="5"/>
      <c r="AM47" s="5"/>
      <c r="AN47" s="5"/>
      <c r="AO47" s="6"/>
      <c r="AQ47" s="28"/>
      <c r="AR47" s="7" t="s">
        <v>80</v>
      </c>
      <c r="AS47" s="8"/>
      <c r="AT47" s="8"/>
      <c r="AU47" s="8"/>
      <c r="AV47" s="8"/>
      <c r="AW47" s="8"/>
      <c r="AX47" s="8"/>
      <c r="AY47" s="8"/>
      <c r="AZ47" s="8"/>
      <c r="BA47" s="9"/>
      <c r="BD47" s="7"/>
      <c r="BE47" s="8"/>
      <c r="BF47" s="8"/>
      <c r="BG47" s="8"/>
      <c r="BH47" s="8"/>
      <c r="BI47" s="8"/>
      <c r="BJ47" s="8"/>
      <c r="BK47" s="8"/>
      <c r="BL47" s="8"/>
      <c r="BM47" s="24">
        <v>1.5</v>
      </c>
      <c r="BP47" s="7" t="s">
        <v>476</v>
      </c>
      <c r="BQ47" s="8"/>
      <c r="BR47" s="8"/>
      <c r="BS47" s="8"/>
      <c r="BT47" s="8"/>
      <c r="BU47" s="8"/>
      <c r="BV47" s="8"/>
      <c r="BW47" s="8"/>
      <c r="BX47" s="8"/>
      <c r="BY47" s="44">
        <v>0.75</v>
      </c>
      <c r="BZ47" s="98"/>
      <c r="CA47" s="2"/>
      <c r="CB47" s="32" t="s">
        <v>432</v>
      </c>
      <c r="CC47" s="16">
        <f>IF(SUM($CU$13:$CU$41)&lt;1,CS15,0)</f>
        <v>0</v>
      </c>
      <c r="CD47" s="108" t="str">
        <f t="shared" ref="CD47:CD73" si="15">IF(CC47,"dauernd","")</f>
        <v/>
      </c>
      <c r="CE47" s="111" t="str">
        <f t="shared" ref="CE47:CE73" si="16">IF(CC47,"Bedarf","")</f>
        <v/>
      </c>
      <c r="CF47" s="112" t="str">
        <f>IF(J48="dauernd",7.5,"")</f>
        <v/>
      </c>
      <c r="CG47" s="108" t="str">
        <f>IF(J48="dauernd",10,"")</f>
        <v/>
      </c>
      <c r="CH47" s="32" t="str">
        <f>IF(J48="dauernd",15,"")</f>
        <v/>
      </c>
      <c r="CI47" s="32" t="str">
        <f>IF(J48="dauernd",20,"")</f>
        <v/>
      </c>
      <c r="CJ47" s="32" t="str">
        <f>IF(J48="dauernd",25,"")</f>
        <v/>
      </c>
      <c r="CK47" s="32" t="str">
        <f>IF(J48="dauernd",30,"")</f>
        <v/>
      </c>
      <c r="CL47" s="32" t="str">
        <f>IF(J48="dauernd",35,"")</f>
        <v/>
      </c>
      <c r="CM47" s="16" t="str">
        <f>IF(J48="dauernd",40,"")</f>
        <v/>
      </c>
      <c r="CN47" s="32" t="str">
        <f>IF(J48="dauernd",50,"")</f>
        <v/>
      </c>
      <c r="CO47" s="32" t="str">
        <f>IF(J48="dauernd",60,"")</f>
        <v/>
      </c>
      <c r="CP47" s="116" t="str">
        <f t="shared" ref="CP47" si="17">IF(CC47,20,"")</f>
        <v/>
      </c>
      <c r="CQ47" s="32" t="str">
        <f t="shared" ref="CQ47" si="18">IF(CC47,30,"")</f>
        <v/>
      </c>
      <c r="CR47" s="32" t="str">
        <f t="shared" ref="CR47" si="19">IF(CC47,40,"")</f>
        <v/>
      </c>
      <c r="CS47" s="32" t="str">
        <f t="shared" ref="CS47" si="20">IF(CC47,45,"")</f>
        <v/>
      </c>
      <c r="CT47" s="32" t="str">
        <f t="shared" ref="CT47" si="21">IF(CC47,50,"")</f>
        <v/>
      </c>
      <c r="CU47" s="32" t="str">
        <f t="shared" ref="CU47" si="22">IF(CC47,60,"")</f>
        <v/>
      </c>
      <c r="CV47" s="32" t="str">
        <f t="shared" ref="CV47" si="23">IF(CC47,65,"")</f>
        <v/>
      </c>
      <c r="CW47" s="32" t="str">
        <f t="shared" ref="CW47" si="24">IF(CC47,70,"")</f>
        <v/>
      </c>
      <c r="CX47" s="16" t="str">
        <f t="shared" ref="CX47" si="25">IF(CC47,80,"")</f>
        <v/>
      </c>
      <c r="CY47" s="32" t="str">
        <f t="shared" ref="CY47" si="26">IF(CC47,100,"")</f>
        <v/>
      </c>
      <c r="DE47" s="1" t="s">
        <v>459</v>
      </c>
      <c r="DF47" s="1">
        <f>V28</f>
        <v>0</v>
      </c>
      <c r="DG47" s="1" t="s">
        <v>14</v>
      </c>
      <c r="DU47" s="74"/>
      <c r="DV47" s="74"/>
      <c r="DX47" s="74"/>
      <c r="DY47" s="74"/>
      <c r="DZ47" s="74"/>
      <c r="EA47" s="74"/>
      <c r="EB47" s="74"/>
      <c r="EC47" s="74"/>
      <c r="ED47" s="74"/>
      <c r="EE47" s="74"/>
      <c r="EF47" s="74"/>
      <c r="EG47" s="74"/>
      <c r="EH47" s="74"/>
      <c r="EI47" s="74"/>
      <c r="EJ47" s="74"/>
      <c r="EK47" s="74"/>
      <c r="EL47" s="74">
        <v>17</v>
      </c>
      <c r="EM47" s="74">
        <v>17</v>
      </c>
      <c r="EN47" s="74">
        <v>17</v>
      </c>
      <c r="EO47" s="74">
        <v>17</v>
      </c>
    </row>
    <row r="48" spans="2:163" ht="15" hidden="1" customHeight="1" x14ac:dyDescent="0.2">
      <c r="B48" s="145"/>
      <c r="C48" s="146"/>
      <c r="D48" s="146"/>
      <c r="E48" s="147"/>
      <c r="F48" s="142"/>
      <c r="G48" s="143"/>
      <c r="H48" s="143"/>
      <c r="I48" s="144"/>
      <c r="J48" s="140"/>
      <c r="K48" s="141"/>
      <c r="L48" s="76"/>
      <c r="M48" s="77"/>
      <c r="N48" s="76"/>
      <c r="O48" s="79"/>
      <c r="P48" s="95"/>
      <c r="Q48" s="87"/>
      <c r="R48" s="145"/>
      <c r="S48" s="146"/>
      <c r="T48" s="146"/>
      <c r="U48" s="146"/>
      <c r="V48" s="146"/>
      <c r="W48" s="147"/>
      <c r="X48" s="83"/>
      <c r="Y48" s="84"/>
      <c r="Z48" s="88"/>
      <c r="AA48" s="77"/>
      <c r="AB48" s="78"/>
      <c r="AC48" s="79"/>
      <c r="AF48" s="4" t="s">
        <v>47</v>
      </c>
      <c r="AG48" s="5"/>
      <c r="AH48" s="5"/>
      <c r="AI48" s="5"/>
      <c r="AJ48" s="5"/>
      <c r="AK48" s="5"/>
      <c r="AL48" s="5"/>
      <c r="AM48" s="5"/>
      <c r="AN48" s="5"/>
      <c r="AO48" s="6"/>
      <c r="AQ48" s="28"/>
      <c r="AR48" s="7" t="s">
        <v>82</v>
      </c>
      <c r="AS48" s="8"/>
      <c r="AT48" s="8"/>
      <c r="AU48" s="8"/>
      <c r="AV48" s="8"/>
      <c r="AW48" s="8"/>
      <c r="AX48" s="8"/>
      <c r="AY48" s="8"/>
      <c r="AZ48" s="8"/>
      <c r="BA48" s="9"/>
      <c r="BD48" s="7"/>
      <c r="BE48" s="8"/>
      <c r="BF48" s="8"/>
      <c r="BG48" s="8"/>
      <c r="BH48" s="8"/>
      <c r="BI48" s="8"/>
      <c r="BJ48" s="8"/>
      <c r="BK48" s="8"/>
      <c r="BL48" s="8"/>
      <c r="BM48" s="24">
        <v>1.6</v>
      </c>
      <c r="BP48" s="7" t="s">
        <v>475</v>
      </c>
      <c r="BQ48" s="8"/>
      <c r="BR48" s="8"/>
      <c r="BS48" s="8"/>
      <c r="BT48" s="8"/>
      <c r="BU48" s="8"/>
      <c r="BV48" s="8"/>
      <c r="BW48" s="8"/>
      <c r="BX48" s="8"/>
      <c r="BY48" s="24">
        <v>1.1000000000000001</v>
      </c>
      <c r="CB48" s="32"/>
      <c r="CC48" s="16"/>
      <c r="CD48" s="108"/>
      <c r="CE48" s="111"/>
      <c r="CF48" s="112"/>
      <c r="CG48" s="108"/>
      <c r="CH48" s="32"/>
      <c r="CI48" s="32"/>
      <c r="CJ48" s="32"/>
      <c r="CK48" s="32"/>
      <c r="CL48" s="32"/>
      <c r="CM48" s="16"/>
      <c r="CN48" s="32"/>
      <c r="CO48" s="32"/>
      <c r="CP48" s="116"/>
      <c r="CQ48" s="32"/>
      <c r="CR48" s="32"/>
      <c r="CS48" s="32"/>
      <c r="CT48" s="32"/>
      <c r="CU48" s="32"/>
      <c r="CV48" s="32"/>
      <c r="CW48" s="32"/>
      <c r="CX48" s="16"/>
      <c r="CY48" s="32"/>
      <c r="DE48" s="1" t="s">
        <v>460</v>
      </c>
      <c r="DF48" s="37">
        <f>DE44-DF47</f>
        <v>0</v>
      </c>
      <c r="DG48" s="1" t="s">
        <v>14</v>
      </c>
      <c r="DU48" s="74"/>
      <c r="DV48" s="74"/>
      <c r="DX48" s="74"/>
      <c r="DY48" s="74"/>
      <c r="DZ48" s="74"/>
      <c r="EA48" s="74"/>
      <c r="EB48" s="74"/>
      <c r="EC48" s="74"/>
      <c r="ED48" s="74"/>
      <c r="EE48" s="74"/>
      <c r="EF48" s="74"/>
      <c r="EG48" s="74"/>
      <c r="EH48" s="74"/>
      <c r="EI48" s="74"/>
      <c r="EJ48" s="74"/>
      <c r="EK48" s="74"/>
      <c r="EL48" s="74"/>
      <c r="EM48" s="74">
        <v>18</v>
      </c>
      <c r="EN48" s="74">
        <v>18</v>
      </c>
      <c r="EO48" s="74">
        <v>18</v>
      </c>
    </row>
    <row r="49" spans="2:145" ht="15" hidden="1" customHeight="1" x14ac:dyDescent="0.2">
      <c r="B49" s="148"/>
      <c r="C49" s="149"/>
      <c r="D49" s="149"/>
      <c r="E49" s="149"/>
      <c r="F49" s="149"/>
      <c r="G49" s="149"/>
      <c r="H49" s="149"/>
      <c r="I49" s="149"/>
      <c r="J49" s="149"/>
      <c r="K49" s="149"/>
      <c r="L49" s="149"/>
      <c r="M49" s="149"/>
      <c r="N49" s="149"/>
      <c r="O49" s="149"/>
      <c r="P49" s="149"/>
      <c r="Q49" s="150"/>
      <c r="R49" s="136"/>
      <c r="S49" s="137"/>
      <c r="T49" s="137"/>
      <c r="U49" s="137"/>
      <c r="V49" s="137"/>
      <c r="W49" s="138"/>
      <c r="X49" s="85"/>
      <c r="Y49" s="86"/>
      <c r="Z49" s="89"/>
      <c r="AA49" s="82"/>
      <c r="AB49" s="80"/>
      <c r="AC49" s="97"/>
      <c r="AF49" s="7" t="s">
        <v>349</v>
      </c>
      <c r="AG49" s="8"/>
      <c r="AH49" s="8"/>
      <c r="AI49" s="8"/>
      <c r="AJ49" s="8"/>
      <c r="AK49" s="8"/>
      <c r="AL49" s="8"/>
      <c r="AM49" s="8"/>
      <c r="AN49" s="8"/>
      <c r="AO49" s="9"/>
      <c r="AQ49" s="28"/>
      <c r="AR49" s="7" t="s">
        <v>84</v>
      </c>
      <c r="AS49" s="8"/>
      <c r="AT49" s="8"/>
      <c r="AU49" s="8"/>
      <c r="AV49" s="8"/>
      <c r="AW49" s="8"/>
      <c r="AX49" s="8"/>
      <c r="AY49" s="8"/>
      <c r="AZ49" s="8"/>
      <c r="BA49" s="9"/>
      <c r="BD49" s="7"/>
      <c r="BE49" s="8"/>
      <c r="BF49" s="8"/>
      <c r="BG49" s="8"/>
      <c r="BH49" s="8"/>
      <c r="BI49" s="8"/>
      <c r="BJ49" s="8"/>
      <c r="BK49" s="8"/>
      <c r="BL49" s="8"/>
      <c r="BM49" s="24">
        <v>1.7</v>
      </c>
      <c r="BP49" s="7" t="s">
        <v>607</v>
      </c>
      <c r="BQ49" s="8"/>
      <c r="BR49" s="8"/>
      <c r="BS49" s="8"/>
      <c r="BT49" s="8"/>
      <c r="BU49" s="8"/>
      <c r="BV49" s="8"/>
      <c r="BW49" s="8"/>
      <c r="BX49" s="8"/>
      <c r="BY49" s="24">
        <v>1.7</v>
      </c>
      <c r="CB49" s="32" t="s">
        <v>433</v>
      </c>
      <c r="CC49" s="16">
        <f>IF(SUM($CU$13:$CU$41)&lt;1,CS17,0)</f>
        <v>0</v>
      </c>
      <c r="CD49" s="108" t="str">
        <f t="shared" si="15"/>
        <v/>
      </c>
      <c r="CE49" s="111" t="str">
        <f t="shared" si="16"/>
        <v/>
      </c>
      <c r="CF49" s="112" t="str">
        <f>IF(J50="dauernd",7.5,"")</f>
        <v/>
      </c>
      <c r="CG49" s="108" t="str">
        <f>IF(J50="dauernd",10,"")</f>
        <v/>
      </c>
      <c r="CH49" s="32" t="str">
        <f>IF(J50="dauernd",15,"")</f>
        <v/>
      </c>
      <c r="CI49" s="32" t="str">
        <f>IF(J50="dauernd",20,"")</f>
        <v/>
      </c>
      <c r="CJ49" s="32" t="str">
        <f>IF(J50="dauernd",25,"")</f>
        <v/>
      </c>
      <c r="CK49" s="32" t="str">
        <f>IF(J50="dauernd",30,"")</f>
        <v/>
      </c>
      <c r="CL49" s="32" t="str">
        <f>IF(J50="dauernd",35,"")</f>
        <v/>
      </c>
      <c r="CM49" s="16" t="str">
        <f>IF(J50="dauernd",40,"")</f>
        <v/>
      </c>
      <c r="CN49" s="32" t="str">
        <f>IF(J50="dauernd",50,"")</f>
        <v/>
      </c>
      <c r="CO49" s="32" t="str">
        <f>IF(J50="dauernd",60,"")</f>
        <v/>
      </c>
      <c r="CP49" s="116" t="str">
        <f t="shared" ref="CP49" si="27">IF(CC49,20,"")</f>
        <v/>
      </c>
      <c r="CQ49" s="32" t="str">
        <f t="shared" ref="CQ49" si="28">IF(CC49,30,"")</f>
        <v/>
      </c>
      <c r="CR49" s="32" t="str">
        <f t="shared" ref="CR49" si="29">IF(CC49,40,"")</f>
        <v/>
      </c>
      <c r="CS49" s="32" t="str">
        <f t="shared" ref="CS49" si="30">IF(CC49,45,"")</f>
        <v/>
      </c>
      <c r="CT49" s="32" t="str">
        <f t="shared" ref="CT49" si="31">IF(CC49,50,"")</f>
        <v/>
      </c>
      <c r="CU49" s="32" t="str">
        <f t="shared" ref="CU49" si="32">IF(CC49,60,"")</f>
        <v/>
      </c>
      <c r="CV49" s="32" t="str">
        <f t="shared" ref="CV49" si="33">IF(CC49,65,"")</f>
        <v/>
      </c>
      <c r="CW49" s="32" t="str">
        <f t="shared" ref="CW49" si="34">IF(CC49,70,"")</f>
        <v/>
      </c>
      <c r="CX49" s="16" t="str">
        <f t="shared" ref="CX49" si="35">IF(CC49,80,"")</f>
        <v/>
      </c>
      <c r="CY49" s="32" t="str">
        <f t="shared" ref="CY49" si="36">IF(CC49,100,"")</f>
        <v/>
      </c>
      <c r="DE49" s="39" t="s">
        <v>487</v>
      </c>
      <c r="DF49" s="12">
        <f>SUM(DF13:DF41)</f>
        <v>0</v>
      </c>
      <c r="DG49" s="1" t="s">
        <v>23</v>
      </c>
      <c r="DN49" s="39"/>
      <c r="DU49" s="74"/>
      <c r="DV49" s="74"/>
      <c r="DX49" s="74"/>
      <c r="DY49" s="74"/>
      <c r="DZ49" s="74"/>
      <c r="EA49" s="74"/>
      <c r="EB49" s="74"/>
      <c r="EC49" s="74"/>
      <c r="ED49" s="74"/>
      <c r="EE49" s="74"/>
      <c r="EF49" s="74"/>
      <c r="EG49" s="74"/>
      <c r="EH49" s="74"/>
      <c r="EI49" s="74"/>
      <c r="EJ49" s="74"/>
      <c r="EK49" s="74"/>
      <c r="EL49" s="74"/>
      <c r="EM49" s="74"/>
      <c r="EN49" s="74">
        <v>19</v>
      </c>
      <c r="EO49" s="74">
        <v>19</v>
      </c>
    </row>
    <row r="50" spans="2:145" ht="15" hidden="1" customHeight="1" x14ac:dyDescent="0.2">
      <c r="B50" s="145"/>
      <c r="C50" s="146"/>
      <c r="D50" s="146"/>
      <c r="E50" s="147"/>
      <c r="F50" s="142"/>
      <c r="G50" s="143"/>
      <c r="H50" s="143"/>
      <c r="I50" s="144"/>
      <c r="J50" s="140"/>
      <c r="K50" s="141"/>
      <c r="L50" s="76"/>
      <c r="M50" s="77"/>
      <c r="N50" s="76"/>
      <c r="O50" s="79"/>
      <c r="P50" s="95"/>
      <c r="Q50" s="87"/>
      <c r="R50" s="145"/>
      <c r="S50" s="146"/>
      <c r="T50" s="146"/>
      <c r="U50" s="146"/>
      <c r="V50" s="146"/>
      <c r="W50" s="147"/>
      <c r="X50" s="83"/>
      <c r="Y50" s="84"/>
      <c r="Z50" s="88"/>
      <c r="AA50" s="77"/>
      <c r="AB50" s="78"/>
      <c r="AC50" s="79"/>
      <c r="AF50" s="4" t="s">
        <v>48</v>
      </c>
      <c r="AG50" s="5"/>
      <c r="AH50" s="5"/>
      <c r="AI50" s="5"/>
      <c r="AJ50" s="5"/>
      <c r="AK50" s="5"/>
      <c r="AL50" s="5"/>
      <c r="AM50" s="5"/>
      <c r="AN50" s="5"/>
      <c r="AO50" s="6"/>
      <c r="AQ50" s="28"/>
      <c r="AR50" s="7" t="s">
        <v>86</v>
      </c>
      <c r="AS50" s="8"/>
      <c r="AT50" s="8"/>
      <c r="AU50" s="8"/>
      <c r="AV50" s="8"/>
      <c r="AW50" s="8"/>
      <c r="AX50" s="8"/>
      <c r="AY50" s="8"/>
      <c r="AZ50" s="8"/>
      <c r="BA50" s="9"/>
      <c r="BD50" s="7"/>
      <c r="BE50" s="8"/>
      <c r="BF50" s="8"/>
      <c r="BG50" s="8"/>
      <c r="BH50" s="8"/>
      <c r="BI50" s="8"/>
      <c r="BJ50" s="8"/>
      <c r="BK50" s="8"/>
      <c r="BL50" s="8"/>
      <c r="BM50" s="24">
        <v>1.8</v>
      </c>
      <c r="BO50" s="27"/>
      <c r="BP50" s="219">
        <f>IF(BD100=2,BY49,IF(BD75=1,BY47,BY48))</f>
        <v>1.1000000000000001</v>
      </c>
      <c r="BQ50" s="220"/>
      <c r="BR50" s="220"/>
      <c r="BS50" s="220"/>
      <c r="BT50" s="220"/>
      <c r="BU50" s="220"/>
      <c r="BV50" s="220"/>
      <c r="BW50" s="220"/>
      <c r="BX50" s="220"/>
      <c r="BY50" s="221"/>
      <c r="CB50" s="32"/>
      <c r="CC50" s="16"/>
      <c r="CD50" s="108"/>
      <c r="CE50" s="111"/>
      <c r="CF50" s="112"/>
      <c r="CG50" s="108"/>
      <c r="CH50" s="32"/>
      <c r="CI50" s="32"/>
      <c r="CJ50" s="32"/>
      <c r="CK50" s="32"/>
      <c r="CL50" s="32"/>
      <c r="CM50" s="16"/>
      <c r="CN50" s="32"/>
      <c r="CO50" s="32"/>
      <c r="CP50" s="116"/>
      <c r="CQ50" s="32"/>
      <c r="CR50" s="32"/>
      <c r="CS50" s="32"/>
      <c r="CT50" s="32"/>
      <c r="CU50" s="32"/>
      <c r="CV50" s="32"/>
      <c r="CW50" s="32"/>
      <c r="CX50" s="16"/>
      <c r="CY50" s="32"/>
      <c r="DE50" s="39" t="s">
        <v>488</v>
      </c>
      <c r="DF50" s="12">
        <f>SUM(DG13:DG41)</f>
        <v>0</v>
      </c>
      <c r="DG50" s="1" t="s">
        <v>23</v>
      </c>
      <c r="DN50" s="39"/>
      <c r="DU50" s="74"/>
      <c r="DV50" s="74"/>
      <c r="DX50" s="74"/>
      <c r="DY50" s="74"/>
      <c r="DZ50" s="74"/>
      <c r="EA50" s="74"/>
      <c r="EB50" s="74"/>
      <c r="EC50" s="74"/>
      <c r="ED50" s="74"/>
      <c r="EE50" s="74"/>
      <c r="EF50" s="74"/>
      <c r="EG50" s="74"/>
      <c r="EH50" s="74"/>
      <c r="EI50" s="74"/>
      <c r="EJ50" s="74"/>
      <c r="EK50" s="74"/>
      <c r="EL50" s="74"/>
      <c r="EM50" s="74"/>
      <c r="EN50" s="74"/>
      <c r="EO50" s="74">
        <v>20</v>
      </c>
    </row>
    <row r="51" spans="2:145" ht="15" hidden="1" customHeight="1" x14ac:dyDescent="0.2">
      <c r="B51" s="148"/>
      <c r="C51" s="149"/>
      <c r="D51" s="149"/>
      <c r="E51" s="149"/>
      <c r="F51" s="149"/>
      <c r="G51" s="149"/>
      <c r="H51" s="149"/>
      <c r="I51" s="149"/>
      <c r="J51" s="149"/>
      <c r="K51" s="149"/>
      <c r="L51" s="149"/>
      <c r="M51" s="149"/>
      <c r="N51" s="149"/>
      <c r="O51" s="149"/>
      <c r="P51" s="149"/>
      <c r="Q51" s="150"/>
      <c r="R51" s="136"/>
      <c r="S51" s="137"/>
      <c r="T51" s="137"/>
      <c r="U51" s="137"/>
      <c r="V51" s="137"/>
      <c r="W51" s="138"/>
      <c r="X51" s="85"/>
      <c r="Y51" s="86"/>
      <c r="Z51" s="89"/>
      <c r="AA51" s="82"/>
      <c r="AB51" s="80"/>
      <c r="AC51" s="97"/>
      <c r="AF51" s="4" t="s">
        <v>49</v>
      </c>
      <c r="AG51" s="5"/>
      <c r="AH51" s="5"/>
      <c r="AI51" s="5"/>
      <c r="AJ51" s="5"/>
      <c r="AK51" s="5"/>
      <c r="AL51" s="5"/>
      <c r="AM51" s="5"/>
      <c r="AN51" s="5"/>
      <c r="AO51" s="6"/>
      <c r="AQ51" s="28"/>
      <c r="AR51" s="7" t="s">
        <v>88</v>
      </c>
      <c r="AS51" s="8"/>
      <c r="AT51" s="8"/>
      <c r="AU51" s="8"/>
      <c r="AV51" s="8"/>
      <c r="AW51" s="8"/>
      <c r="AX51" s="8"/>
      <c r="AY51" s="8"/>
      <c r="AZ51" s="8"/>
      <c r="BA51" s="9"/>
      <c r="BD51" s="7"/>
      <c r="BE51" s="8"/>
      <c r="BF51" s="8"/>
      <c r="BG51" s="8"/>
      <c r="BH51" s="8"/>
      <c r="BI51" s="8"/>
      <c r="BJ51" s="8"/>
      <c r="BK51" s="8"/>
      <c r="BL51" s="8"/>
      <c r="BM51" s="24">
        <v>1.9</v>
      </c>
      <c r="BO51" s="27"/>
      <c r="CB51" s="32" t="s">
        <v>434</v>
      </c>
      <c r="CC51" s="16">
        <f>IF(SUM($CU$13:$CU$41)&lt;1,CS19,0)</f>
        <v>0</v>
      </c>
      <c r="CD51" s="108" t="str">
        <f t="shared" si="15"/>
        <v/>
      </c>
      <c r="CE51" s="111" t="str">
        <f t="shared" si="16"/>
        <v/>
      </c>
      <c r="CF51" s="112" t="str">
        <f>IF(J52="dauernd",7.5,"")</f>
        <v/>
      </c>
      <c r="CG51" s="108" t="str">
        <f>IF(J52="dauernd",10,"")</f>
        <v/>
      </c>
      <c r="CH51" s="32" t="str">
        <f>IF(J52="dauernd",15,"")</f>
        <v/>
      </c>
      <c r="CI51" s="32" t="str">
        <f>IF(J52="dauernd",20,"")</f>
        <v/>
      </c>
      <c r="CJ51" s="32" t="str">
        <f>IF(J52="dauernd",25,"")</f>
        <v/>
      </c>
      <c r="CK51" s="32" t="str">
        <f>IF(J52="dauernd",30,"")</f>
        <v/>
      </c>
      <c r="CL51" s="32" t="str">
        <f>IF(J52="dauernd",35,"")</f>
        <v/>
      </c>
      <c r="CM51" s="16" t="str">
        <f>IF(J52="dauernd",40,"")</f>
        <v/>
      </c>
      <c r="CN51" s="32" t="str">
        <f>IF(J52="dauernd",50,"")</f>
        <v/>
      </c>
      <c r="CO51" s="32" t="str">
        <f>IF(J52="dauernd",60,"")</f>
        <v/>
      </c>
      <c r="CP51" s="116" t="str">
        <f t="shared" ref="CP51" si="37">IF(CC51,20,"")</f>
        <v/>
      </c>
      <c r="CQ51" s="32" t="str">
        <f t="shared" ref="CQ51" si="38">IF(CC51,30,"")</f>
        <v/>
      </c>
      <c r="CR51" s="32" t="str">
        <f t="shared" ref="CR51" si="39">IF(CC51,40,"")</f>
        <v/>
      </c>
      <c r="CS51" s="32" t="str">
        <f t="shared" ref="CS51" si="40">IF(CC51,45,"")</f>
        <v/>
      </c>
      <c r="CT51" s="32" t="str">
        <f t="shared" ref="CT51" si="41">IF(CC51,50,"")</f>
        <v/>
      </c>
      <c r="CU51" s="32" t="str">
        <f t="shared" ref="CU51" si="42">IF(CC51,60,"")</f>
        <v/>
      </c>
      <c r="CV51" s="32" t="str">
        <f t="shared" ref="CV51" si="43">IF(CC51,65,"")</f>
        <v/>
      </c>
      <c r="CW51" s="32" t="str">
        <f>IF(CC51,70,"")</f>
        <v/>
      </c>
      <c r="CX51" s="16" t="str">
        <f>IF(CC51,80,"")</f>
        <v/>
      </c>
      <c r="CY51" s="32" t="str">
        <f>IF(CC51,100,"")</f>
        <v/>
      </c>
      <c r="DE51" s="39" t="s">
        <v>612</v>
      </c>
      <c r="DF51" s="1">
        <f>SUM(DH13:DH41)/2</f>
        <v>0</v>
      </c>
      <c r="DG51" s="1" t="s">
        <v>23</v>
      </c>
      <c r="DN51" s="39"/>
    </row>
    <row r="52" spans="2:145" ht="15" hidden="1" customHeight="1" x14ac:dyDescent="0.2">
      <c r="B52" s="145"/>
      <c r="C52" s="146"/>
      <c r="D52" s="146"/>
      <c r="E52" s="147"/>
      <c r="F52" s="142"/>
      <c r="G52" s="143"/>
      <c r="H52" s="143"/>
      <c r="I52" s="144"/>
      <c r="J52" s="140"/>
      <c r="K52" s="141"/>
      <c r="L52" s="76"/>
      <c r="M52" s="77"/>
      <c r="N52" s="76"/>
      <c r="O52" s="79"/>
      <c r="P52" s="95"/>
      <c r="Q52" s="87"/>
      <c r="R52" s="145"/>
      <c r="S52" s="146"/>
      <c r="T52" s="146"/>
      <c r="U52" s="146"/>
      <c r="V52" s="146"/>
      <c r="W52" s="147"/>
      <c r="X52" s="83"/>
      <c r="Y52" s="84"/>
      <c r="Z52" s="88"/>
      <c r="AA52" s="77"/>
      <c r="AB52" s="78"/>
      <c r="AC52" s="79"/>
      <c r="AF52" s="7" t="s">
        <v>350</v>
      </c>
      <c r="AG52" s="8"/>
      <c r="AH52" s="8"/>
      <c r="AI52" s="8"/>
      <c r="AJ52" s="8"/>
      <c r="AK52" s="8"/>
      <c r="AL52" s="8"/>
      <c r="AM52" s="8"/>
      <c r="AN52" s="8"/>
      <c r="AO52" s="9"/>
      <c r="AQ52" s="28"/>
      <c r="AR52" s="7" t="s">
        <v>89</v>
      </c>
      <c r="AS52" s="8"/>
      <c r="AT52" s="8"/>
      <c r="AU52" s="8"/>
      <c r="AV52" s="8"/>
      <c r="AW52" s="8"/>
      <c r="AX52" s="8"/>
      <c r="AY52" s="8"/>
      <c r="AZ52" s="8"/>
      <c r="BA52" s="9"/>
      <c r="BD52" s="7"/>
      <c r="BE52" s="8"/>
      <c r="BF52" s="8"/>
      <c r="BG52" s="8"/>
      <c r="BH52" s="8"/>
      <c r="BI52" s="8"/>
      <c r="BJ52" s="8"/>
      <c r="BK52" s="8"/>
      <c r="BL52" s="8"/>
      <c r="BM52" s="24">
        <v>2</v>
      </c>
      <c r="BO52" s="27"/>
      <c r="BP52" s="227" t="s">
        <v>480</v>
      </c>
      <c r="BQ52" s="228"/>
      <c r="BR52" s="228"/>
      <c r="BS52" s="228"/>
      <c r="BT52" s="228"/>
      <c r="BU52" s="228"/>
      <c r="BV52" s="228"/>
      <c r="BW52" s="228"/>
      <c r="BX52" s="228"/>
      <c r="BY52" s="229"/>
      <c r="CB52" s="32"/>
      <c r="CC52" s="16"/>
      <c r="CD52" s="108"/>
      <c r="CE52" s="111"/>
      <c r="CF52" s="112"/>
      <c r="CG52" s="108"/>
      <c r="CH52" s="32"/>
      <c r="CI52" s="32"/>
      <c r="CJ52" s="32"/>
      <c r="CK52" s="32"/>
      <c r="CL52" s="32"/>
      <c r="CM52" s="16"/>
      <c r="CN52" s="32"/>
      <c r="CO52" s="32"/>
      <c r="CP52" s="116"/>
      <c r="CQ52" s="32"/>
      <c r="CR52" s="32"/>
      <c r="CS52" s="32"/>
      <c r="CT52" s="32"/>
      <c r="CU52" s="32"/>
      <c r="CV52" s="32"/>
      <c r="CW52" s="32"/>
      <c r="CX52" s="16"/>
      <c r="CY52" s="32"/>
      <c r="DE52" s="39" t="s">
        <v>637</v>
      </c>
      <c r="DF52" s="1">
        <f>SUM(DI13:DI41)</f>
        <v>0</v>
      </c>
      <c r="DG52" s="1" t="s">
        <v>23</v>
      </c>
      <c r="DN52" s="39"/>
      <c r="DU52" s="74"/>
      <c r="DZ52" s="74"/>
      <c r="EA52" s="74"/>
      <c r="EB52" s="74"/>
      <c r="EC52" s="74"/>
      <c r="ED52" s="74"/>
      <c r="EE52" s="74"/>
      <c r="EF52" s="74"/>
      <c r="EG52" s="74"/>
      <c r="EH52" s="74"/>
    </row>
    <row r="53" spans="2:145" ht="15" hidden="1" customHeight="1" x14ac:dyDescent="0.2">
      <c r="B53" s="148"/>
      <c r="C53" s="149"/>
      <c r="D53" s="149"/>
      <c r="E53" s="149"/>
      <c r="F53" s="149"/>
      <c r="G53" s="149"/>
      <c r="H53" s="149"/>
      <c r="I53" s="149"/>
      <c r="J53" s="149"/>
      <c r="K53" s="149"/>
      <c r="L53" s="149"/>
      <c r="M53" s="149"/>
      <c r="N53" s="149"/>
      <c r="O53" s="149"/>
      <c r="P53" s="149"/>
      <c r="Q53" s="150"/>
      <c r="R53" s="136"/>
      <c r="S53" s="137"/>
      <c r="T53" s="137"/>
      <c r="U53" s="137"/>
      <c r="V53" s="137"/>
      <c r="W53" s="138"/>
      <c r="X53" s="85"/>
      <c r="Y53" s="86"/>
      <c r="Z53" s="89"/>
      <c r="AA53" s="82"/>
      <c r="AB53" s="80"/>
      <c r="AC53" s="97"/>
      <c r="AF53" s="4" t="s">
        <v>50</v>
      </c>
      <c r="AG53" s="5"/>
      <c r="AH53" s="5"/>
      <c r="AI53" s="5"/>
      <c r="AJ53" s="5"/>
      <c r="AK53" s="5"/>
      <c r="AL53" s="5"/>
      <c r="AM53" s="5"/>
      <c r="AN53" s="5"/>
      <c r="AO53" s="6"/>
      <c r="AQ53" s="28"/>
      <c r="AR53" s="4" t="s">
        <v>90</v>
      </c>
      <c r="AS53" s="8"/>
      <c r="AT53" s="8"/>
      <c r="AU53" s="8"/>
      <c r="AV53" s="8"/>
      <c r="AW53" s="8"/>
      <c r="AX53" s="8"/>
      <c r="AY53" s="8"/>
      <c r="AZ53" s="8"/>
      <c r="BA53" s="9"/>
      <c r="BD53" s="240">
        <f>M28</f>
        <v>0</v>
      </c>
      <c r="BE53" s="241"/>
      <c r="BF53" s="241"/>
      <c r="BG53" s="241"/>
      <c r="BH53" s="241"/>
      <c r="BI53" s="241"/>
      <c r="BJ53" s="241"/>
      <c r="BK53" s="241"/>
      <c r="BL53" s="241"/>
      <c r="BM53" s="242"/>
      <c r="BO53" s="27"/>
      <c r="BP53" s="7" t="s">
        <v>481</v>
      </c>
      <c r="BQ53" s="8"/>
      <c r="BR53" s="8"/>
      <c r="BS53" s="8"/>
      <c r="BT53" s="8"/>
      <c r="BU53" s="8"/>
      <c r="BV53" s="8"/>
      <c r="BW53" s="8"/>
      <c r="BX53" s="8"/>
      <c r="BY53" s="24">
        <f>BD14*BD20*BD80*BD85</f>
        <v>1</v>
      </c>
      <c r="CB53" s="32" t="s">
        <v>435</v>
      </c>
      <c r="CC53" s="16">
        <f>IF(SUM($CU$13:$CU$41)&lt;1,CS21,0)</f>
        <v>0</v>
      </c>
      <c r="CD53" s="108" t="str">
        <f t="shared" si="15"/>
        <v/>
      </c>
      <c r="CE53" s="111" t="str">
        <f t="shared" si="16"/>
        <v/>
      </c>
      <c r="CF53" s="112" t="str">
        <f>IF(J54="dauernd",7.5,"")</f>
        <v/>
      </c>
      <c r="CG53" s="108" t="str">
        <f>IF(J54="dauernd",10,"")</f>
        <v/>
      </c>
      <c r="CH53" s="32" t="str">
        <f>IF(J54="dauernd",15,"")</f>
        <v/>
      </c>
      <c r="CI53" s="32" t="str">
        <f>IF(J54="dauernd",20,"")</f>
        <v/>
      </c>
      <c r="CJ53" s="32" t="str">
        <f>IF(J54="dauernd",25,"")</f>
        <v/>
      </c>
      <c r="CK53" s="32" t="str">
        <f>IF(J54="dauernd",30,"")</f>
        <v/>
      </c>
      <c r="CL53" s="32" t="str">
        <f>IF(J54="dauernd",35,"")</f>
        <v/>
      </c>
      <c r="CM53" s="16" t="str">
        <f>IF(J54="dauernd",40,"")</f>
        <v/>
      </c>
      <c r="CN53" s="32" t="str">
        <f>IF(J54="dauernd",50,"")</f>
        <v/>
      </c>
      <c r="CO53" s="32" t="str">
        <f>IF(J54="dauernd",60,"")</f>
        <v/>
      </c>
      <c r="CP53" s="116" t="str">
        <f t="shared" ref="CP53" si="44">IF(CC53,20,"")</f>
        <v/>
      </c>
      <c r="CQ53" s="32" t="str">
        <f t="shared" ref="CQ53" si="45">IF(CC53,30,"")</f>
        <v/>
      </c>
      <c r="CR53" s="32" t="str">
        <f t="shared" ref="CR53" si="46">IF(CC53,40,"")</f>
        <v/>
      </c>
      <c r="CS53" s="32" t="str">
        <f t="shared" ref="CS53" si="47">IF(CC53,45,"")</f>
        <v/>
      </c>
      <c r="CT53" s="32" t="str">
        <f t="shared" ref="CT53" si="48">IF(CC53,50,"")</f>
        <v/>
      </c>
      <c r="CU53" s="32" t="str">
        <f t="shared" ref="CU53" si="49">IF(CC53,60,"")</f>
        <v/>
      </c>
      <c r="CV53" s="32" t="str">
        <f t="shared" ref="CV53" si="50">IF(CC53,65,"")</f>
        <v/>
      </c>
      <c r="CW53" s="32" t="str">
        <f t="shared" ref="CW53" si="51">IF(CC53,70,"")</f>
        <v/>
      </c>
      <c r="CX53" s="16" t="str">
        <f t="shared" ref="CX53" si="52">IF(CC53,80,"")</f>
        <v/>
      </c>
      <c r="CY53" s="32" t="str">
        <f t="shared" ref="CY53" si="53">IF(CC53,100,"")</f>
        <v/>
      </c>
      <c r="DE53" s="39" t="s">
        <v>525</v>
      </c>
      <c r="DF53" s="37">
        <f>BX30</f>
        <v>9.9600000000000009</v>
      </c>
      <c r="DG53" s="1" t="s">
        <v>23</v>
      </c>
      <c r="DN53" s="39"/>
      <c r="DU53" s="74"/>
      <c r="DV53" s="74"/>
      <c r="DX53" s="74"/>
      <c r="DY53" s="74"/>
      <c r="DZ53" s="74"/>
      <c r="EA53" s="74"/>
      <c r="EB53" s="74"/>
      <c r="EC53" s="74"/>
      <c r="ED53" s="74"/>
      <c r="EE53" s="74"/>
      <c r="EF53" s="74"/>
      <c r="EG53" s="74"/>
      <c r="EH53" s="74"/>
      <c r="EI53" s="74"/>
    </row>
    <row r="54" spans="2:145" ht="15" hidden="1" customHeight="1" x14ac:dyDescent="0.2">
      <c r="B54" s="145"/>
      <c r="C54" s="146"/>
      <c r="D54" s="146"/>
      <c r="E54" s="147"/>
      <c r="F54" s="142"/>
      <c r="G54" s="143"/>
      <c r="H54" s="143"/>
      <c r="I54" s="144"/>
      <c r="J54" s="140"/>
      <c r="K54" s="141"/>
      <c r="L54" s="76"/>
      <c r="M54" s="77"/>
      <c r="N54" s="76"/>
      <c r="O54" s="79"/>
      <c r="P54" s="95"/>
      <c r="Q54" s="87"/>
      <c r="R54" s="145"/>
      <c r="S54" s="146"/>
      <c r="T54" s="146"/>
      <c r="U54" s="146"/>
      <c r="V54" s="146"/>
      <c r="W54" s="147"/>
      <c r="X54" s="83"/>
      <c r="Y54" s="84"/>
      <c r="Z54" s="88"/>
      <c r="AA54" s="77"/>
      <c r="AB54" s="78"/>
      <c r="AC54" s="79"/>
      <c r="AF54" s="4" t="s">
        <v>51</v>
      </c>
      <c r="AG54" s="5"/>
      <c r="AH54" s="5"/>
      <c r="AI54" s="5"/>
      <c r="AJ54" s="5"/>
      <c r="AK54" s="5"/>
      <c r="AL54" s="5"/>
      <c r="AM54" s="5"/>
      <c r="AN54" s="5"/>
      <c r="AO54" s="6"/>
      <c r="AQ54" s="28"/>
      <c r="AR54" s="7" t="s">
        <v>91</v>
      </c>
      <c r="AS54" s="8"/>
      <c r="AT54" s="8"/>
      <c r="AU54" s="8"/>
      <c r="AV54" s="8"/>
      <c r="AW54" s="8"/>
      <c r="AX54" s="8"/>
      <c r="AY54" s="8"/>
      <c r="AZ54" s="8"/>
      <c r="BA54" s="9"/>
      <c r="BO54" s="27"/>
      <c r="BP54" s="7" t="s">
        <v>482</v>
      </c>
      <c r="BQ54" s="8"/>
      <c r="BR54" s="8"/>
      <c r="BS54" s="8"/>
      <c r="BT54" s="8"/>
      <c r="BU54" s="8"/>
      <c r="BV54" s="8"/>
      <c r="BW54" s="8"/>
      <c r="BX54" s="8"/>
      <c r="BY54" s="44">
        <f>BP50</f>
        <v>1.1000000000000001</v>
      </c>
      <c r="CB54" s="32"/>
      <c r="CC54" s="16"/>
      <c r="CD54" s="108"/>
      <c r="CE54" s="111"/>
      <c r="CF54" s="112"/>
      <c r="CG54" s="108"/>
      <c r="CH54" s="32"/>
      <c r="CI54" s="32"/>
      <c r="CJ54" s="32"/>
      <c r="CK54" s="32"/>
      <c r="CL54" s="32"/>
      <c r="CM54" s="16"/>
      <c r="CN54" s="32"/>
      <c r="CO54" s="32"/>
      <c r="CP54" s="116"/>
      <c r="CQ54" s="32"/>
      <c r="CR54" s="32"/>
      <c r="CS54" s="32"/>
      <c r="CT54" s="32"/>
      <c r="CU54" s="32"/>
      <c r="CV54" s="32"/>
      <c r="CW54" s="32"/>
      <c r="CX54" s="16"/>
      <c r="CY54" s="32"/>
      <c r="DD54" s="1">
        <v>1</v>
      </c>
      <c r="DE54" s="28" t="s">
        <v>526</v>
      </c>
      <c r="DF54" s="37">
        <f>IF(BD100=2,MAX(DF52,DF53),MAX(DF51,DF53))</f>
        <v>9.9600000000000009</v>
      </c>
      <c r="DG54" s="1" t="s">
        <v>23</v>
      </c>
      <c r="DN54" s="39"/>
      <c r="DU54" s="74"/>
      <c r="DV54" s="74"/>
      <c r="DX54" s="74"/>
      <c r="DY54" s="74"/>
      <c r="DZ54" s="74"/>
      <c r="EA54" s="74"/>
      <c r="EB54" s="74"/>
      <c r="EC54" s="74"/>
      <c r="ED54" s="74"/>
      <c r="EE54" s="74"/>
      <c r="EF54" s="74"/>
      <c r="EG54" s="74"/>
      <c r="EH54" s="74"/>
      <c r="EI54" s="74"/>
      <c r="EJ54" s="74"/>
    </row>
    <row r="55" spans="2:145" ht="15" hidden="1" customHeight="1" x14ac:dyDescent="0.2">
      <c r="B55" s="148"/>
      <c r="C55" s="149"/>
      <c r="D55" s="149"/>
      <c r="E55" s="149"/>
      <c r="F55" s="149"/>
      <c r="G55" s="149"/>
      <c r="H55" s="149"/>
      <c r="I55" s="149"/>
      <c r="J55" s="149"/>
      <c r="K55" s="149"/>
      <c r="L55" s="149"/>
      <c r="M55" s="149"/>
      <c r="N55" s="149"/>
      <c r="O55" s="149"/>
      <c r="P55" s="149"/>
      <c r="Q55" s="150"/>
      <c r="R55" s="136"/>
      <c r="S55" s="137"/>
      <c r="T55" s="137"/>
      <c r="U55" s="137"/>
      <c r="V55" s="137"/>
      <c r="W55" s="138"/>
      <c r="X55" s="85"/>
      <c r="Y55" s="86"/>
      <c r="Z55" s="89"/>
      <c r="AA55" s="82"/>
      <c r="AB55" s="80"/>
      <c r="AC55" s="97"/>
      <c r="AF55" s="4" t="s">
        <v>52</v>
      </c>
      <c r="AG55" s="5"/>
      <c r="AH55" s="5"/>
      <c r="AI55" s="5"/>
      <c r="AJ55" s="5"/>
      <c r="AK55" s="5"/>
      <c r="AL55" s="5"/>
      <c r="AM55" s="5"/>
      <c r="AN55" s="5"/>
      <c r="AO55" s="6"/>
      <c r="AQ55" s="28"/>
      <c r="AR55" s="7" t="s">
        <v>92</v>
      </c>
      <c r="AS55" s="8"/>
      <c r="AT55" s="8"/>
      <c r="AU55" s="8"/>
      <c r="AV55" s="8"/>
      <c r="AW55" s="8"/>
      <c r="AX55" s="8"/>
      <c r="AY55" s="8"/>
      <c r="AZ55" s="8"/>
      <c r="BA55" s="9"/>
      <c r="BD55" s="227" t="s">
        <v>509</v>
      </c>
      <c r="BE55" s="228"/>
      <c r="BF55" s="228"/>
      <c r="BG55" s="228"/>
      <c r="BH55" s="228"/>
      <c r="BI55" s="228"/>
      <c r="BJ55" s="228"/>
      <c r="BK55" s="228"/>
      <c r="BL55" s="228"/>
      <c r="BM55" s="229"/>
      <c r="BO55" s="27"/>
      <c r="BP55" s="254">
        <f>0.04*SQRT(POWER(BY53,2)+POWER(BY54,2))</f>
        <v>5.9464274989274028E-2</v>
      </c>
      <c r="BQ55" s="255"/>
      <c r="BR55" s="255"/>
      <c r="BS55" s="255"/>
      <c r="BT55" s="255"/>
      <c r="BU55" s="255"/>
      <c r="BV55" s="255"/>
      <c r="BW55" s="255"/>
      <c r="BX55" s="255"/>
      <c r="BY55" s="256"/>
      <c r="CB55" s="32" t="s">
        <v>437</v>
      </c>
      <c r="CC55" s="16">
        <f>IF(SUM($CU$13:$CU$41)&lt;1,CS23,0)</f>
        <v>0</v>
      </c>
      <c r="CD55" s="108" t="str">
        <f t="shared" si="15"/>
        <v/>
      </c>
      <c r="CE55" s="111" t="str">
        <f t="shared" si="16"/>
        <v/>
      </c>
      <c r="CF55" s="112" t="str">
        <f>IF(J56="dauernd",7.5,"")</f>
        <v/>
      </c>
      <c r="CG55" s="108" t="str">
        <f>IF(J56="dauernd",10,"")</f>
        <v/>
      </c>
      <c r="CH55" s="32" t="str">
        <f>IF(J56="dauernd",15,"")</f>
        <v/>
      </c>
      <c r="CI55" s="32" t="str">
        <f>IF(J56="dauernd",20,"")</f>
        <v/>
      </c>
      <c r="CJ55" s="32" t="str">
        <f>IF(J56="dauernd",25,"")</f>
        <v/>
      </c>
      <c r="CK55" s="32" t="str">
        <f>IF(J56="dauernd",30,"")</f>
        <v/>
      </c>
      <c r="CL55" s="32" t="str">
        <f>IF(J56="dauernd",35,"")</f>
        <v/>
      </c>
      <c r="CM55" s="16" t="str">
        <f>IF(J56="dauernd",40,"")</f>
        <v/>
      </c>
      <c r="CN55" s="32" t="str">
        <f>IF(J56="dauernd",50,"")</f>
        <v/>
      </c>
      <c r="CO55" s="32" t="str">
        <f>IF(J56="dauernd",60,"")</f>
        <v/>
      </c>
      <c r="CP55" s="116" t="str">
        <f t="shared" ref="CP55" si="54">IF(CC55,20,"")</f>
        <v/>
      </c>
      <c r="CQ55" s="32" t="str">
        <f t="shared" ref="CQ55" si="55">IF(CC55,30,"")</f>
        <v/>
      </c>
      <c r="CR55" s="32" t="str">
        <f t="shared" ref="CR55" si="56">IF(CC55,40,"")</f>
        <v/>
      </c>
      <c r="CS55" s="32" t="str">
        <f t="shared" ref="CS55" si="57">IF(CC55,45,"")</f>
        <v/>
      </c>
      <c r="CT55" s="32" t="str">
        <f t="shared" ref="CT55" si="58">IF(CC55,50,"")</f>
        <v/>
      </c>
      <c r="CU55" s="32" t="str">
        <f t="shared" ref="CU55" si="59">IF(CC55,60,"")</f>
        <v/>
      </c>
      <c r="CV55" s="32" t="str">
        <f t="shared" ref="CV55" si="60">IF(CC55,65,"")</f>
        <v/>
      </c>
      <c r="CW55" s="32" t="str">
        <f t="shared" ref="CW55" si="61">IF(CC55,70,"")</f>
        <v/>
      </c>
      <c r="CX55" s="16" t="str">
        <f t="shared" ref="CX55" si="62">IF(CC55,80,"")</f>
        <v/>
      </c>
      <c r="CY55" s="32" t="str">
        <f t="shared" ref="CY55" si="63">IF(CC55,100,"")</f>
        <v/>
      </c>
      <c r="DD55" s="1">
        <v>3</v>
      </c>
      <c r="DE55" s="28" t="s">
        <v>463</v>
      </c>
      <c r="DF55" s="1">
        <f>BX32*DF54/DF53</f>
        <v>33.200000000000003</v>
      </c>
      <c r="DG55" s="1" t="s">
        <v>23</v>
      </c>
      <c r="DN55" s="39"/>
      <c r="DU55" s="74"/>
      <c r="DV55" s="74"/>
      <c r="DX55" s="74"/>
      <c r="DY55" s="74"/>
      <c r="DZ55" s="74"/>
      <c r="EA55" s="74"/>
      <c r="EB55" s="74"/>
      <c r="EC55" s="74"/>
      <c r="ED55" s="74"/>
      <c r="EE55" s="74"/>
      <c r="EF55" s="74"/>
      <c r="EG55" s="74"/>
      <c r="EH55" s="74"/>
      <c r="EI55" s="74"/>
      <c r="EJ55" s="74"/>
      <c r="EK55" s="74"/>
    </row>
    <row r="56" spans="2:145" ht="15" hidden="1" customHeight="1" x14ac:dyDescent="0.2">
      <c r="B56" s="145"/>
      <c r="C56" s="146"/>
      <c r="D56" s="146"/>
      <c r="E56" s="147"/>
      <c r="F56" s="142"/>
      <c r="G56" s="143"/>
      <c r="H56" s="143"/>
      <c r="I56" s="144"/>
      <c r="J56" s="140"/>
      <c r="K56" s="141"/>
      <c r="L56" s="76"/>
      <c r="M56" s="77"/>
      <c r="N56" s="76"/>
      <c r="O56" s="79"/>
      <c r="P56" s="95"/>
      <c r="Q56" s="87"/>
      <c r="R56" s="145"/>
      <c r="S56" s="146"/>
      <c r="T56" s="146"/>
      <c r="U56" s="146"/>
      <c r="V56" s="146"/>
      <c r="W56" s="147"/>
      <c r="X56" s="83"/>
      <c r="Y56" s="84"/>
      <c r="Z56" s="88"/>
      <c r="AA56" s="77"/>
      <c r="AB56" s="78"/>
      <c r="AC56" s="79"/>
      <c r="AF56" s="7" t="s">
        <v>351</v>
      </c>
      <c r="AG56" s="8"/>
      <c r="AH56" s="8"/>
      <c r="AI56" s="8"/>
      <c r="AJ56" s="8"/>
      <c r="AK56" s="8"/>
      <c r="AL56" s="8"/>
      <c r="AM56" s="8"/>
      <c r="AN56" s="8"/>
      <c r="AO56" s="9"/>
      <c r="AQ56" s="28"/>
      <c r="AR56" s="7" t="s">
        <v>362</v>
      </c>
      <c r="AS56" s="8"/>
      <c r="AT56" s="8"/>
      <c r="AU56" s="8"/>
      <c r="AV56" s="8"/>
      <c r="AW56" s="8"/>
      <c r="AX56" s="8"/>
      <c r="AY56" s="8"/>
      <c r="AZ56" s="8"/>
      <c r="BA56" s="9"/>
      <c r="BD56" s="219"/>
      <c r="BE56" s="220"/>
      <c r="BF56" s="220"/>
      <c r="BG56" s="220"/>
      <c r="BH56" s="220"/>
      <c r="BI56" s="220"/>
      <c r="BJ56" s="5" t="s">
        <v>34</v>
      </c>
      <c r="BK56" s="5" t="s">
        <v>35</v>
      </c>
      <c r="BL56" s="5"/>
      <c r="BM56" s="6"/>
      <c r="BO56" s="27"/>
      <c r="CB56" s="32"/>
      <c r="CC56" s="16"/>
      <c r="CD56" s="108"/>
      <c r="CE56" s="111"/>
      <c r="CF56" s="112"/>
      <c r="CG56" s="108"/>
      <c r="CH56" s="32"/>
      <c r="CI56" s="32"/>
      <c r="CJ56" s="32"/>
      <c r="CK56" s="32"/>
      <c r="CL56" s="32"/>
      <c r="CM56" s="16"/>
      <c r="CN56" s="32"/>
      <c r="CO56" s="32"/>
      <c r="CP56" s="116"/>
      <c r="CQ56" s="32"/>
      <c r="CR56" s="32"/>
      <c r="CS56" s="32"/>
      <c r="CT56" s="32"/>
      <c r="CU56" s="32"/>
      <c r="CV56" s="32"/>
      <c r="CW56" s="32"/>
      <c r="CX56" s="16"/>
      <c r="CY56" s="32"/>
      <c r="DD56" s="1">
        <v>2</v>
      </c>
      <c r="DE56" s="28" t="s">
        <v>464</v>
      </c>
      <c r="DF56" s="1">
        <f>DF55*0.7</f>
        <v>23.240000000000002</v>
      </c>
      <c r="DG56" s="1" t="s">
        <v>23</v>
      </c>
      <c r="DU56" s="74"/>
      <c r="DV56" s="74"/>
      <c r="DX56" s="74"/>
      <c r="DY56" s="74"/>
      <c r="DZ56" s="74"/>
      <c r="EA56" s="74"/>
      <c r="EB56" s="74"/>
      <c r="EC56" s="74"/>
      <c r="ED56" s="74"/>
      <c r="EE56" s="74"/>
      <c r="EF56" s="74"/>
      <c r="EG56" s="74"/>
      <c r="EH56" s="74"/>
      <c r="EI56" s="74"/>
      <c r="EJ56" s="74"/>
      <c r="EK56" s="74"/>
      <c r="EL56" s="74"/>
    </row>
    <row r="57" spans="2:145" ht="15" hidden="1" customHeight="1" x14ac:dyDescent="0.2">
      <c r="B57" s="148"/>
      <c r="C57" s="149"/>
      <c r="D57" s="149"/>
      <c r="E57" s="149"/>
      <c r="F57" s="149"/>
      <c r="G57" s="149"/>
      <c r="H57" s="149"/>
      <c r="I57" s="149"/>
      <c r="J57" s="149"/>
      <c r="K57" s="149"/>
      <c r="L57" s="149"/>
      <c r="M57" s="149"/>
      <c r="N57" s="149"/>
      <c r="O57" s="149"/>
      <c r="P57" s="149"/>
      <c r="Q57" s="150"/>
      <c r="R57" s="136"/>
      <c r="S57" s="137"/>
      <c r="T57" s="137"/>
      <c r="U57" s="137"/>
      <c r="V57" s="137"/>
      <c r="W57" s="138"/>
      <c r="X57" s="85"/>
      <c r="Y57" s="86"/>
      <c r="Z57" s="89"/>
      <c r="AA57" s="82"/>
      <c r="AB57" s="80"/>
      <c r="AC57" s="97"/>
      <c r="AF57" s="7" t="s">
        <v>352</v>
      </c>
      <c r="AG57" s="8"/>
      <c r="AH57" s="8"/>
      <c r="AI57" s="8"/>
      <c r="AJ57" s="8"/>
      <c r="AK57" s="8"/>
      <c r="AL57" s="8"/>
      <c r="AM57" s="8"/>
      <c r="AN57" s="8"/>
      <c r="AO57" s="9"/>
      <c r="AQ57" s="28"/>
      <c r="AR57" s="7" t="s">
        <v>93</v>
      </c>
      <c r="AS57" s="8"/>
      <c r="AT57" s="8"/>
      <c r="AU57" s="8"/>
      <c r="AV57" s="8"/>
      <c r="AW57" s="8"/>
      <c r="AX57" s="8"/>
      <c r="AY57" s="8"/>
      <c r="AZ57" s="8"/>
      <c r="BA57" s="9"/>
      <c r="BD57" s="237"/>
      <c r="BE57" s="238"/>
      <c r="BF57" s="238"/>
      <c r="BG57" s="238"/>
      <c r="BH57" s="18"/>
      <c r="BI57" s="19">
        <f>IF(BD30&gt;0,1,0)</f>
        <v>1</v>
      </c>
      <c r="BJ57" s="64">
        <v>1.5</v>
      </c>
      <c r="BK57" s="64">
        <v>2</v>
      </c>
      <c r="BL57" s="64"/>
      <c r="BM57" s="20"/>
      <c r="BO57" s="27"/>
      <c r="BP57" s="227" t="s">
        <v>483</v>
      </c>
      <c r="BQ57" s="228"/>
      <c r="BR57" s="228"/>
      <c r="BS57" s="228"/>
      <c r="BT57" s="228"/>
      <c r="BU57" s="228"/>
      <c r="BV57" s="228"/>
      <c r="BW57" s="228"/>
      <c r="BX57" s="228"/>
      <c r="BY57" s="229"/>
      <c r="CB57" s="32" t="s">
        <v>446</v>
      </c>
      <c r="CC57" s="16">
        <f>IF(SUM($CU$13:$CU$41)&lt;1,CS25,0)</f>
        <v>0</v>
      </c>
      <c r="CD57" s="108" t="str">
        <f t="shared" si="15"/>
        <v/>
      </c>
      <c r="CE57" s="111" t="str">
        <f t="shared" si="16"/>
        <v/>
      </c>
      <c r="CF57" s="112" t="str">
        <f>IF(J58="dauernd",7.5,"")</f>
        <v/>
      </c>
      <c r="CG57" s="108" t="str">
        <f>IF(J58="dauernd",10,"")</f>
        <v/>
      </c>
      <c r="CH57" s="32" t="str">
        <f>IF(J58="dauernd",15,"")</f>
        <v/>
      </c>
      <c r="CI57" s="32" t="str">
        <f>IF(J58="dauernd",20,"")</f>
        <v/>
      </c>
      <c r="CJ57" s="32" t="str">
        <f>IF(J58="dauernd",25,"")</f>
        <v/>
      </c>
      <c r="CK57" s="32" t="str">
        <f>IF(J58="dauernd",30,"")</f>
        <v/>
      </c>
      <c r="CL57" s="32" t="str">
        <f>IF(J58="dauernd",35,"")</f>
        <v/>
      </c>
      <c r="CM57" s="16" t="str">
        <f>IF(J58="dauernd",40,"")</f>
        <v/>
      </c>
      <c r="CN57" s="32" t="str">
        <f>IF(J58="dauernd",50,"")</f>
        <v/>
      </c>
      <c r="CO57" s="32" t="str">
        <f>IF(J58="dauernd",60,"")</f>
        <v/>
      </c>
      <c r="CP57" s="116" t="str">
        <f t="shared" ref="CP57" si="64">IF(CC57,20,"")</f>
        <v/>
      </c>
      <c r="CQ57" s="32" t="str">
        <f t="shared" ref="CQ57" si="65">IF(CC57,30,"")</f>
        <v/>
      </c>
      <c r="CR57" s="32" t="str">
        <f t="shared" ref="CR57" si="66">IF(CC57,40,"")</f>
        <v/>
      </c>
      <c r="CS57" s="32" t="str">
        <f t="shared" ref="CS57" si="67">IF(CC57,45,"")</f>
        <v/>
      </c>
      <c r="CT57" s="32" t="str">
        <f t="shared" ref="CT57" si="68">IF(CC57,50,"")</f>
        <v/>
      </c>
      <c r="CU57" s="32" t="str">
        <f t="shared" ref="CU57" si="69">IF(CC57,60,"")</f>
        <v/>
      </c>
      <c r="CV57" s="32" t="str">
        <f t="shared" ref="CV57" si="70">IF(CC57,65,"")</f>
        <v/>
      </c>
      <c r="CW57" s="32" t="str">
        <f t="shared" ref="CW57" si="71">IF(CC57,70,"")</f>
        <v/>
      </c>
      <c r="CX57" s="16" t="str">
        <f t="shared" ref="CX57" si="72">IF(CC57,80,"")</f>
        <v/>
      </c>
      <c r="CY57" s="32" t="str">
        <f t="shared" ref="CY57" si="73">IF(CC57,100,"")</f>
        <v/>
      </c>
      <c r="DD57" s="1">
        <v>4</v>
      </c>
      <c r="DE57" s="28" t="s">
        <v>465</v>
      </c>
      <c r="DF57" s="1">
        <f>DF55*1.3</f>
        <v>43.160000000000004</v>
      </c>
      <c r="DG57" s="1" t="s">
        <v>23</v>
      </c>
      <c r="DU57" s="74"/>
      <c r="DV57" s="74"/>
      <c r="DX57" s="74"/>
      <c r="DY57" s="74"/>
      <c r="DZ57" s="74"/>
      <c r="EA57" s="74"/>
      <c r="EB57" s="74"/>
      <c r="EC57" s="74"/>
      <c r="ED57" s="74"/>
      <c r="EE57" s="74"/>
      <c r="EF57" s="74"/>
      <c r="EG57" s="74"/>
      <c r="EH57" s="74"/>
      <c r="EI57" s="74"/>
      <c r="EJ57" s="74"/>
      <c r="EK57" s="74"/>
      <c r="EL57" s="74"/>
      <c r="EM57" s="74"/>
    </row>
    <row r="58" spans="2:145" ht="15" hidden="1" customHeight="1" x14ac:dyDescent="0.2">
      <c r="B58" s="145"/>
      <c r="C58" s="146"/>
      <c r="D58" s="146"/>
      <c r="E58" s="147"/>
      <c r="F58" s="142"/>
      <c r="G58" s="143"/>
      <c r="H58" s="143"/>
      <c r="I58" s="144"/>
      <c r="J58" s="140"/>
      <c r="K58" s="141"/>
      <c r="L58" s="76"/>
      <c r="M58" s="77"/>
      <c r="N58" s="76"/>
      <c r="O58" s="79"/>
      <c r="P58" s="95"/>
      <c r="Q58" s="87"/>
      <c r="R58" s="145"/>
      <c r="S58" s="146"/>
      <c r="T58" s="146"/>
      <c r="U58" s="146"/>
      <c r="V58" s="146"/>
      <c r="W58" s="147"/>
      <c r="X58" s="83"/>
      <c r="Y58" s="84"/>
      <c r="Z58" s="88"/>
      <c r="AA58" s="77"/>
      <c r="AB58" s="78"/>
      <c r="AC58" s="79"/>
      <c r="AF58" s="4" t="s">
        <v>53</v>
      </c>
      <c r="AG58" s="5"/>
      <c r="AH58" s="5"/>
      <c r="AI58" s="5"/>
      <c r="AJ58" s="5"/>
      <c r="AK58" s="5"/>
      <c r="AL58" s="5"/>
      <c r="AM58" s="5"/>
      <c r="AN58" s="5"/>
      <c r="AO58" s="6"/>
      <c r="AQ58" s="21"/>
      <c r="AR58" s="7" t="s">
        <v>94</v>
      </c>
      <c r="AS58" s="8"/>
      <c r="AT58" s="8"/>
      <c r="AU58" s="8"/>
      <c r="AV58" s="8"/>
      <c r="AW58" s="8"/>
      <c r="AX58" s="8"/>
      <c r="AY58" s="8"/>
      <c r="AZ58" s="8"/>
      <c r="BA58" s="9"/>
      <c r="BD58" s="219">
        <f>IF(BD53,BD53,VLOOKUP(1,BI57:BL57,BD30+1,FALSE))</f>
        <v>1.5</v>
      </c>
      <c r="BE58" s="220"/>
      <c r="BF58" s="220"/>
      <c r="BG58" s="220"/>
      <c r="BH58" s="220"/>
      <c r="BI58" s="220"/>
      <c r="BJ58" s="220"/>
      <c r="BK58" s="220"/>
      <c r="BL58" s="220"/>
      <c r="BM58" s="221"/>
      <c r="BO58" s="27"/>
      <c r="BP58" s="246">
        <f>ROUND(MAX(2,MIN(8,50*POWER((2*BP55),3/2))),0)</f>
        <v>2</v>
      </c>
      <c r="BQ58" s="247"/>
      <c r="BR58" s="247"/>
      <c r="BS58" s="247"/>
      <c r="BT58" s="247"/>
      <c r="BU58" s="247"/>
      <c r="BV58" s="247"/>
      <c r="BW58" s="247"/>
      <c r="BX58" s="247"/>
      <c r="BY58" s="248"/>
      <c r="CB58" s="32"/>
      <c r="CC58" s="16"/>
      <c r="CD58" s="108"/>
      <c r="CE58" s="111"/>
      <c r="CF58" s="112"/>
      <c r="CG58" s="108"/>
      <c r="CH58" s="32"/>
      <c r="CI58" s="32"/>
      <c r="CJ58" s="32"/>
      <c r="CK58" s="32"/>
      <c r="CL58" s="32"/>
      <c r="CM58" s="16"/>
      <c r="CN58" s="32"/>
      <c r="CO58" s="32"/>
      <c r="CP58" s="116"/>
      <c r="CQ58" s="32"/>
      <c r="CR58" s="32"/>
      <c r="CS58" s="32"/>
      <c r="CT58" s="32"/>
      <c r="CU58" s="32"/>
      <c r="CV58" s="32"/>
      <c r="CW58" s="32"/>
      <c r="CX58" s="16"/>
      <c r="CY58" s="32"/>
      <c r="DF58" s="37"/>
      <c r="DU58" s="74"/>
      <c r="DV58" s="74"/>
      <c r="DX58" s="74"/>
      <c r="DY58" s="74"/>
      <c r="DZ58" s="74"/>
      <c r="EA58" s="74"/>
      <c r="EB58" s="74"/>
      <c r="EC58" s="74"/>
      <c r="ED58" s="74"/>
      <c r="EE58" s="74"/>
      <c r="EF58" s="74"/>
      <c r="EG58" s="74"/>
      <c r="EH58" s="74"/>
      <c r="EI58" s="74"/>
      <c r="EJ58" s="74"/>
      <c r="EK58" s="74"/>
      <c r="EL58" s="74"/>
      <c r="EM58" s="74"/>
      <c r="EN58" s="74"/>
    </row>
    <row r="59" spans="2:145" ht="15" hidden="1" customHeight="1" x14ac:dyDescent="0.2">
      <c r="B59" s="148"/>
      <c r="C59" s="149"/>
      <c r="D59" s="149"/>
      <c r="E59" s="149"/>
      <c r="F59" s="149"/>
      <c r="G59" s="149"/>
      <c r="H59" s="149"/>
      <c r="I59" s="149"/>
      <c r="J59" s="149"/>
      <c r="K59" s="149"/>
      <c r="L59" s="149"/>
      <c r="M59" s="149"/>
      <c r="N59" s="149"/>
      <c r="O59" s="149"/>
      <c r="P59" s="149"/>
      <c r="Q59" s="150"/>
      <c r="R59" s="136"/>
      <c r="S59" s="137"/>
      <c r="T59" s="137"/>
      <c r="U59" s="137"/>
      <c r="V59" s="137"/>
      <c r="W59" s="138"/>
      <c r="X59" s="85"/>
      <c r="Y59" s="86"/>
      <c r="Z59" s="89"/>
      <c r="AA59" s="82"/>
      <c r="AB59" s="80"/>
      <c r="AC59" s="97"/>
      <c r="AF59" s="4" t="s">
        <v>54</v>
      </c>
      <c r="AG59" s="5"/>
      <c r="AH59" s="5"/>
      <c r="AI59" s="5"/>
      <c r="AJ59" s="5"/>
      <c r="AK59" s="5"/>
      <c r="AL59" s="5"/>
      <c r="AM59" s="5"/>
      <c r="AN59" s="5"/>
      <c r="AO59" s="6"/>
      <c r="AR59" s="7" t="s">
        <v>95</v>
      </c>
      <c r="AS59" s="8"/>
      <c r="AT59" s="8"/>
      <c r="AU59" s="8"/>
      <c r="AV59" s="8"/>
      <c r="AW59" s="8"/>
      <c r="AX59" s="8"/>
      <c r="AY59" s="8"/>
      <c r="AZ59" s="8"/>
      <c r="BA59" s="9"/>
      <c r="BO59" s="15"/>
      <c r="CB59" s="32" t="s">
        <v>447</v>
      </c>
      <c r="CC59" s="16">
        <f>IF(SUM($CU$13:$CU$41)&lt;1,CS27,0)</f>
        <v>0</v>
      </c>
      <c r="CD59" s="108" t="str">
        <f t="shared" si="15"/>
        <v/>
      </c>
      <c r="CE59" s="111" t="str">
        <f t="shared" si="16"/>
        <v/>
      </c>
      <c r="CF59" s="112" t="str">
        <f>IF(J60="dauernd",7.5,"")</f>
        <v/>
      </c>
      <c r="CG59" s="108" t="str">
        <f>IF(J60="dauernd",10,"")</f>
        <v/>
      </c>
      <c r="CH59" s="32" t="str">
        <f>IF(J60="dauernd",15,"")</f>
        <v/>
      </c>
      <c r="CI59" s="32" t="str">
        <f>IF(J60="dauernd",20,"")</f>
        <v/>
      </c>
      <c r="CJ59" s="32" t="str">
        <f>IF(J60="dauernd",25,"")</f>
        <v/>
      </c>
      <c r="CK59" s="32" t="str">
        <f>IF(J60="dauernd",30,"")</f>
        <v/>
      </c>
      <c r="CL59" s="32" t="str">
        <f>IF(J60="dauernd",35,"")</f>
        <v/>
      </c>
      <c r="CM59" s="16" t="str">
        <f>IF(J60="dauernd",40,"")</f>
        <v/>
      </c>
      <c r="CN59" s="32" t="str">
        <f>IF(J60="dauernd",50,"")</f>
        <v/>
      </c>
      <c r="CO59" s="32" t="str">
        <f>IF(J60="dauernd",60,"")</f>
        <v/>
      </c>
      <c r="CP59" s="116" t="str">
        <f t="shared" ref="CP59" si="74">IF(CC59,20,"")</f>
        <v/>
      </c>
      <c r="CQ59" s="32" t="str">
        <f t="shared" ref="CQ59" si="75">IF(CC59,30,"")</f>
        <v/>
      </c>
      <c r="CR59" s="32" t="str">
        <f t="shared" ref="CR59" si="76">IF(CC59,40,"")</f>
        <v/>
      </c>
      <c r="CS59" s="32" t="str">
        <f t="shared" ref="CS59" si="77">IF(CC59,45,"")</f>
        <v/>
      </c>
      <c r="CT59" s="32" t="str">
        <f t="shared" ref="CT59" si="78">IF(CC59,50,"")</f>
        <v/>
      </c>
      <c r="CU59" s="32" t="str">
        <f t="shared" ref="CU59" si="79">IF(CC59,60,"")</f>
        <v/>
      </c>
      <c r="CV59" s="32" t="str">
        <f t="shared" ref="CV59" si="80">IF(CC59,65,"")</f>
        <v/>
      </c>
      <c r="CW59" s="32" t="str">
        <f t="shared" ref="CW59" si="81">IF(CC59,70,"")</f>
        <v/>
      </c>
      <c r="CX59" s="16" t="str">
        <f t="shared" ref="CX59" si="82">IF(CC59,80,"")</f>
        <v/>
      </c>
      <c r="CY59" s="32" t="str">
        <f t="shared" ref="CY59" si="83">IF(CC59,100,"")</f>
        <v/>
      </c>
      <c r="DD59" s="139" t="s">
        <v>613</v>
      </c>
      <c r="DE59" s="139"/>
      <c r="DF59" s="139"/>
      <c r="DG59" s="139"/>
    </row>
    <row r="60" spans="2:145" ht="15" hidden="1" customHeight="1" x14ac:dyDescent="0.2">
      <c r="B60" s="145"/>
      <c r="C60" s="146"/>
      <c r="D60" s="146"/>
      <c r="E60" s="147"/>
      <c r="F60" s="142"/>
      <c r="G60" s="143"/>
      <c r="H60" s="143"/>
      <c r="I60" s="144"/>
      <c r="J60" s="140"/>
      <c r="K60" s="141"/>
      <c r="L60" s="76"/>
      <c r="M60" s="77"/>
      <c r="N60" s="76"/>
      <c r="O60" s="79"/>
      <c r="P60" s="95"/>
      <c r="Q60" s="87"/>
      <c r="R60" s="145"/>
      <c r="S60" s="146"/>
      <c r="T60" s="146"/>
      <c r="U60" s="146"/>
      <c r="V60" s="146"/>
      <c r="W60" s="147"/>
      <c r="X60" s="83"/>
      <c r="Y60" s="84"/>
      <c r="Z60" s="88"/>
      <c r="AA60" s="77"/>
      <c r="AB60" s="78"/>
      <c r="AC60" s="79"/>
      <c r="AF60" s="4" t="s">
        <v>55</v>
      </c>
      <c r="AG60" s="5"/>
      <c r="AH60" s="5"/>
      <c r="AI60" s="5"/>
      <c r="AJ60" s="5"/>
      <c r="AK60" s="5"/>
      <c r="AL60" s="5"/>
      <c r="AM60" s="5"/>
      <c r="AN60" s="5"/>
      <c r="AO60" s="6"/>
      <c r="AR60" s="7" t="s">
        <v>96</v>
      </c>
      <c r="AS60" s="8"/>
      <c r="AT60" s="8"/>
      <c r="AU60" s="8"/>
      <c r="AV60" s="8"/>
      <c r="AW60" s="8"/>
      <c r="AX60" s="8"/>
      <c r="AY60" s="8"/>
      <c r="AZ60" s="8"/>
      <c r="BA60" s="9"/>
      <c r="BD60" s="227" t="s">
        <v>560</v>
      </c>
      <c r="BE60" s="228"/>
      <c r="BF60" s="228"/>
      <c r="BG60" s="228"/>
      <c r="BH60" s="228"/>
      <c r="BI60" s="228"/>
      <c r="BJ60" s="228"/>
      <c r="BK60" s="228"/>
      <c r="BL60" s="228"/>
      <c r="BM60" s="229"/>
      <c r="BO60" s="15"/>
      <c r="BP60" s="227" t="s">
        <v>472</v>
      </c>
      <c r="BQ60" s="228"/>
      <c r="BR60" s="228"/>
      <c r="BS60" s="228"/>
      <c r="BT60" s="228"/>
      <c r="BU60" s="228"/>
      <c r="BV60" s="228"/>
      <c r="BW60" s="228"/>
      <c r="BX60" s="228"/>
      <c r="BY60" s="229"/>
      <c r="CB60" s="32"/>
      <c r="CC60" s="16"/>
      <c r="CD60" s="108"/>
      <c r="CE60" s="111"/>
      <c r="CF60" s="112"/>
      <c r="CG60" s="108"/>
      <c r="CH60" s="32"/>
      <c r="CI60" s="32"/>
      <c r="CJ60" s="32"/>
      <c r="CK60" s="32"/>
      <c r="CL60" s="32"/>
      <c r="CM60" s="16"/>
      <c r="CN60" s="32"/>
      <c r="CO60" s="32"/>
      <c r="CP60" s="116"/>
      <c r="CQ60" s="32"/>
      <c r="CR60" s="32"/>
      <c r="CS60" s="32"/>
      <c r="CT60" s="32"/>
      <c r="CU60" s="32"/>
      <c r="CV60" s="32"/>
      <c r="CW60" s="32"/>
      <c r="CX60" s="16"/>
      <c r="CY60" s="32"/>
      <c r="DE60" s="39" t="s">
        <v>492</v>
      </c>
      <c r="DF60" s="37">
        <f>IF(CB78=1,CG93,CG99)</f>
        <v>19.920000000000002</v>
      </c>
      <c r="DG60" s="1" t="s">
        <v>23</v>
      </c>
    </row>
    <row r="61" spans="2:145" ht="15" hidden="1" customHeight="1" x14ac:dyDescent="0.2">
      <c r="B61" s="148"/>
      <c r="C61" s="149"/>
      <c r="D61" s="149"/>
      <c r="E61" s="149"/>
      <c r="F61" s="149"/>
      <c r="G61" s="149"/>
      <c r="H61" s="149"/>
      <c r="I61" s="149"/>
      <c r="J61" s="149"/>
      <c r="K61" s="149"/>
      <c r="L61" s="149"/>
      <c r="M61" s="149"/>
      <c r="N61" s="149"/>
      <c r="O61" s="149"/>
      <c r="P61" s="149"/>
      <c r="Q61" s="150"/>
      <c r="R61" s="136"/>
      <c r="S61" s="137"/>
      <c r="T61" s="137"/>
      <c r="U61" s="137"/>
      <c r="V61" s="137"/>
      <c r="W61" s="138"/>
      <c r="X61" s="85"/>
      <c r="Y61" s="86"/>
      <c r="Z61" s="89"/>
      <c r="AA61" s="82"/>
      <c r="AB61" s="80"/>
      <c r="AC61" s="97"/>
      <c r="AF61" s="4" t="s">
        <v>56</v>
      </c>
      <c r="AG61" s="5"/>
      <c r="AH61" s="5"/>
      <c r="AI61" s="5"/>
      <c r="AJ61" s="5"/>
      <c r="AK61" s="5"/>
      <c r="AL61" s="5"/>
      <c r="AM61" s="5"/>
      <c r="AN61" s="5"/>
      <c r="AO61" s="6"/>
      <c r="AR61" s="7" t="s">
        <v>97</v>
      </c>
      <c r="AS61" s="8"/>
      <c r="AT61" s="8"/>
      <c r="AU61" s="8"/>
      <c r="AV61" s="8"/>
      <c r="AW61" s="8"/>
      <c r="AX61" s="8"/>
      <c r="AY61" s="8"/>
      <c r="AZ61" s="8"/>
      <c r="BA61" s="9"/>
      <c r="BC61" s="1">
        <v>1</v>
      </c>
      <c r="BD61" s="7" t="s">
        <v>645</v>
      </c>
      <c r="BE61" s="8"/>
      <c r="BF61" s="8"/>
      <c r="BG61" s="8"/>
      <c r="BH61" s="8"/>
      <c r="BI61" s="8"/>
      <c r="BJ61" s="8"/>
      <c r="BK61" s="8"/>
      <c r="BL61" s="8"/>
      <c r="BM61" s="9"/>
      <c r="BO61" s="21"/>
      <c r="BP61" s="16">
        <v>1</v>
      </c>
      <c r="BQ61" s="29">
        <v>0.21</v>
      </c>
      <c r="BR61" s="29"/>
      <c r="BS61" s="16"/>
      <c r="BT61" s="17"/>
      <c r="BU61" s="16"/>
      <c r="BV61" s="16"/>
      <c r="BW61" s="16"/>
      <c r="BX61" s="16"/>
      <c r="BY61" s="16"/>
      <c r="CB61" s="32" t="s">
        <v>448</v>
      </c>
      <c r="CC61" s="16">
        <f>IF(SUM($CU$13:$CU$41)&lt;1,CS29,0)</f>
        <v>0</v>
      </c>
      <c r="CD61" s="108" t="str">
        <f t="shared" si="15"/>
        <v/>
      </c>
      <c r="CE61" s="111" t="str">
        <f t="shared" si="16"/>
        <v/>
      </c>
      <c r="CF61" s="112" t="str">
        <f>IF(J62="dauernd",7.5,"")</f>
        <v/>
      </c>
      <c r="CG61" s="108" t="str">
        <f>IF(J62="dauernd",10,"")</f>
        <v/>
      </c>
      <c r="CH61" s="32" t="str">
        <f>IF(J62="dauernd",15,"")</f>
        <v/>
      </c>
      <c r="CI61" s="32" t="str">
        <f>IF(J62="dauernd",20,"")</f>
        <v/>
      </c>
      <c r="CJ61" s="32" t="str">
        <f>IF(J62="dauernd",25,"")</f>
        <v/>
      </c>
      <c r="CK61" s="32" t="str">
        <f>IF(J62="dauernd",30,"")</f>
        <v/>
      </c>
      <c r="CL61" s="32" t="str">
        <f>IF(J62="dauernd",35,"")</f>
        <v/>
      </c>
      <c r="CM61" s="16" t="str">
        <f>IF(J62="dauernd",40,"")</f>
        <v/>
      </c>
      <c r="CN61" s="32" t="str">
        <f>IF(J62="dauernd",50,"")</f>
        <v/>
      </c>
      <c r="CO61" s="32" t="str">
        <f>IF(J62="dauernd",60,"")</f>
        <v/>
      </c>
      <c r="CP61" s="116" t="str">
        <f t="shared" ref="CP61" si="84">IF(CC61,20,"")</f>
        <v/>
      </c>
      <c r="CQ61" s="32" t="str">
        <f t="shared" ref="CQ61" si="85">IF(CC61,30,"")</f>
        <v/>
      </c>
      <c r="CR61" s="32" t="str">
        <f t="shared" ref="CR61" si="86">IF(CC61,40,"")</f>
        <v/>
      </c>
      <c r="CS61" s="32" t="str">
        <f t="shared" ref="CS61" si="87">IF(CC61,45,"")</f>
        <v/>
      </c>
      <c r="CT61" s="32" t="str">
        <f t="shared" ref="CT61" si="88">IF(CC61,50,"")</f>
        <v/>
      </c>
      <c r="CU61" s="32" t="str">
        <f t="shared" ref="CU61" si="89">IF(CC61,60,"")</f>
        <v/>
      </c>
      <c r="CV61" s="32" t="str">
        <f t="shared" ref="CV61" si="90">IF(CC61,65,"")</f>
        <v/>
      </c>
      <c r="CW61" s="32" t="str">
        <f t="shared" ref="CW61" si="91">IF(CC61,70,"")</f>
        <v/>
      </c>
      <c r="CX61" s="16" t="str">
        <f t="shared" ref="CX61" si="92">IF(CC61,80,"")</f>
        <v/>
      </c>
      <c r="CY61" s="32" t="str">
        <f t="shared" ref="CY61" si="93">IF(CC61,100,"")</f>
        <v/>
      </c>
      <c r="DE61" s="39" t="s">
        <v>493</v>
      </c>
      <c r="DF61" s="1">
        <f>MAX(DF50,2*DF54)</f>
        <v>19.920000000000002</v>
      </c>
      <c r="DG61" s="1" t="s">
        <v>23</v>
      </c>
    </row>
    <row r="62" spans="2:145" ht="15" hidden="1" customHeight="1" x14ac:dyDescent="0.2">
      <c r="B62" s="145"/>
      <c r="C62" s="146"/>
      <c r="D62" s="146"/>
      <c r="E62" s="147"/>
      <c r="F62" s="142"/>
      <c r="G62" s="143"/>
      <c r="H62" s="143"/>
      <c r="I62" s="144"/>
      <c r="J62" s="140"/>
      <c r="K62" s="141"/>
      <c r="L62" s="76"/>
      <c r="M62" s="77"/>
      <c r="N62" s="76"/>
      <c r="O62" s="79"/>
      <c r="P62" s="95"/>
      <c r="Q62" s="87"/>
      <c r="R62" s="145"/>
      <c r="S62" s="146"/>
      <c r="T62" s="146"/>
      <c r="U62" s="146"/>
      <c r="V62" s="146"/>
      <c r="W62" s="147"/>
      <c r="X62" s="83"/>
      <c r="Y62" s="84"/>
      <c r="Z62" s="88"/>
      <c r="AA62" s="77"/>
      <c r="AB62" s="78"/>
      <c r="AC62" s="79"/>
      <c r="AF62" s="4" t="s">
        <v>57</v>
      </c>
      <c r="AG62" s="5"/>
      <c r="AH62" s="5"/>
      <c r="AI62" s="5"/>
      <c r="AJ62" s="5"/>
      <c r="AK62" s="5"/>
      <c r="AL62" s="5"/>
      <c r="AM62" s="5"/>
      <c r="AN62" s="5"/>
      <c r="AO62" s="6"/>
      <c r="AR62" s="7" t="s">
        <v>98</v>
      </c>
      <c r="AS62" s="8"/>
      <c r="AT62" s="8"/>
      <c r="AU62" s="8"/>
      <c r="AV62" s="8"/>
      <c r="AW62" s="8"/>
      <c r="AX62" s="8"/>
      <c r="AY62" s="8"/>
      <c r="AZ62" s="8"/>
      <c r="BA62" s="9"/>
      <c r="BC62" s="1">
        <v>2</v>
      </c>
      <c r="BD62" s="7" t="s">
        <v>646</v>
      </c>
      <c r="BE62" s="8"/>
      <c r="BF62" s="8"/>
      <c r="BG62" s="8"/>
      <c r="BH62" s="8"/>
      <c r="BI62" s="8"/>
      <c r="BJ62" s="8"/>
      <c r="BK62" s="8"/>
      <c r="BL62" s="8"/>
      <c r="BM62" s="9"/>
      <c r="BP62" s="16">
        <v>2</v>
      </c>
      <c r="BQ62" s="29">
        <v>0.17</v>
      </c>
      <c r="BR62" s="29"/>
      <c r="BS62" s="16"/>
      <c r="BT62" s="17"/>
      <c r="BU62" s="16"/>
      <c r="BV62" s="16"/>
      <c r="BW62" s="16"/>
      <c r="BX62" s="16"/>
      <c r="BY62" s="16"/>
      <c r="CB62" s="32"/>
      <c r="CC62" s="16"/>
      <c r="CD62" s="108"/>
      <c r="CE62" s="111"/>
      <c r="CF62" s="112"/>
      <c r="CG62" s="108"/>
      <c r="CH62" s="32"/>
      <c r="CI62" s="32"/>
      <c r="CJ62" s="32"/>
      <c r="CK62" s="32"/>
      <c r="CL62" s="32"/>
      <c r="CM62" s="16"/>
      <c r="CN62" s="32"/>
      <c r="CO62" s="32"/>
      <c r="CP62" s="116"/>
      <c r="CQ62" s="32"/>
      <c r="CR62" s="32"/>
      <c r="CS62" s="32"/>
      <c r="CT62" s="32"/>
      <c r="CU62" s="32"/>
      <c r="CV62" s="32"/>
      <c r="CW62" s="32"/>
      <c r="CX62" s="16"/>
      <c r="CY62" s="32"/>
      <c r="DE62" s="39" t="s">
        <v>494</v>
      </c>
      <c r="DF62" s="37" t="e">
        <f>IF(AND(CB78=1,CB83=1),#REF!,#REF!)</f>
        <v>#REF!</v>
      </c>
      <c r="DG62" s="1" t="s">
        <v>23</v>
      </c>
    </row>
    <row r="63" spans="2:145" ht="15" hidden="1" customHeight="1" x14ac:dyDescent="0.2">
      <c r="B63" s="148"/>
      <c r="C63" s="149"/>
      <c r="D63" s="149"/>
      <c r="E63" s="149"/>
      <c r="F63" s="149"/>
      <c r="G63" s="149"/>
      <c r="H63" s="149"/>
      <c r="I63" s="149"/>
      <c r="J63" s="149"/>
      <c r="K63" s="149"/>
      <c r="L63" s="149"/>
      <c r="M63" s="149"/>
      <c r="N63" s="149"/>
      <c r="O63" s="149"/>
      <c r="P63" s="149"/>
      <c r="Q63" s="150"/>
      <c r="R63" s="136"/>
      <c r="S63" s="137"/>
      <c r="T63" s="137"/>
      <c r="U63" s="137"/>
      <c r="V63" s="137"/>
      <c r="W63" s="138"/>
      <c r="X63" s="85"/>
      <c r="Y63" s="86"/>
      <c r="Z63" s="89"/>
      <c r="AA63" s="82"/>
      <c r="AB63" s="80"/>
      <c r="AC63" s="97"/>
      <c r="AF63" s="4" t="s">
        <v>58</v>
      </c>
      <c r="AG63" s="5"/>
      <c r="AH63" s="5"/>
      <c r="AI63" s="5"/>
      <c r="AJ63" s="5"/>
      <c r="AK63" s="5"/>
      <c r="AL63" s="5"/>
      <c r="AM63" s="5"/>
      <c r="AN63" s="5"/>
      <c r="AO63" s="6"/>
      <c r="AR63" s="7" t="s">
        <v>99</v>
      </c>
      <c r="AS63" s="8"/>
      <c r="AT63" s="8"/>
      <c r="AU63" s="8"/>
      <c r="AV63" s="8"/>
      <c r="AW63" s="8"/>
      <c r="AX63" s="8"/>
      <c r="AY63" s="8"/>
      <c r="AZ63" s="8"/>
      <c r="BA63" s="9"/>
      <c r="BC63" s="1">
        <v>3</v>
      </c>
      <c r="BD63" s="7" t="s">
        <v>561</v>
      </c>
      <c r="BE63" s="8"/>
      <c r="BF63" s="8"/>
      <c r="BG63" s="8"/>
      <c r="BH63" s="8"/>
      <c r="BI63" s="8"/>
      <c r="BJ63" s="8"/>
      <c r="BK63" s="8"/>
      <c r="BL63" s="8"/>
      <c r="BM63" s="9"/>
      <c r="BP63" s="219">
        <f>VLOOKUP(BD90,BP61:BR62,2,FALSE)</f>
        <v>0.21</v>
      </c>
      <c r="BQ63" s="220"/>
      <c r="BR63" s="220"/>
      <c r="BS63" s="220"/>
      <c r="BT63" s="220"/>
      <c r="BU63" s="220"/>
      <c r="BV63" s="220"/>
      <c r="BW63" s="220"/>
      <c r="BX63" s="220"/>
      <c r="BY63" s="221"/>
      <c r="CB63" s="32" t="s">
        <v>449</v>
      </c>
      <c r="CC63" s="16">
        <f>IF(SUM($CU$13:$CU$41)&lt;1,CS31,0)</f>
        <v>0</v>
      </c>
      <c r="CD63" s="108" t="str">
        <f t="shared" si="15"/>
        <v/>
      </c>
      <c r="CE63" s="111" t="str">
        <f t="shared" si="16"/>
        <v/>
      </c>
      <c r="CF63" s="112" t="str">
        <f>IF(J64="dauernd",7.5,"")</f>
        <v/>
      </c>
      <c r="CG63" s="108" t="str">
        <f>IF(J64="dauernd",10,"")</f>
        <v/>
      </c>
      <c r="CH63" s="32" t="str">
        <f>IF(J64="dauernd",15,"")</f>
        <v/>
      </c>
      <c r="CI63" s="32" t="str">
        <f>IF(J64="dauernd",20,"")</f>
        <v/>
      </c>
      <c r="CJ63" s="32" t="str">
        <f>IF(J64="dauernd",25,"")</f>
        <v/>
      </c>
      <c r="CK63" s="32" t="str">
        <f>IF(J64="dauernd",30,"")</f>
        <v/>
      </c>
      <c r="CL63" s="32" t="str">
        <f>IF(J64="dauernd",35,"")</f>
        <v/>
      </c>
      <c r="CM63" s="16" t="str">
        <f>IF(J64="dauernd",40,"")</f>
        <v/>
      </c>
      <c r="CN63" s="32" t="str">
        <f>IF(J64="dauernd",50,"")</f>
        <v/>
      </c>
      <c r="CO63" s="32" t="str">
        <f>IF(J64="dauernd",60,"")</f>
        <v/>
      </c>
      <c r="CP63" s="116" t="str">
        <f t="shared" ref="CP63" si="94">IF(CC63,20,"")</f>
        <v/>
      </c>
      <c r="CQ63" s="32" t="str">
        <f t="shared" ref="CQ63" si="95">IF(CC63,30,"")</f>
        <v/>
      </c>
      <c r="CR63" s="32" t="str">
        <f t="shared" ref="CR63" si="96">IF(CC63,40,"")</f>
        <v/>
      </c>
      <c r="CS63" s="32" t="str">
        <f t="shared" ref="CS63" si="97">IF(CC63,45,"")</f>
        <v/>
      </c>
      <c r="CT63" s="32" t="str">
        <f t="shared" ref="CT63" si="98">IF(CC63,50,"")</f>
        <v/>
      </c>
      <c r="CU63" s="32" t="str">
        <f t="shared" ref="CU63" si="99">IF(CC63,60,"")</f>
        <v/>
      </c>
      <c r="CV63" s="32" t="str">
        <f t="shared" ref="CV63" si="100">IF(CC63,65,"")</f>
        <v/>
      </c>
      <c r="CW63" s="32" t="str">
        <f t="shared" ref="CW63" si="101">IF(CC63,70,"")</f>
        <v/>
      </c>
      <c r="CX63" s="16" t="str">
        <f t="shared" ref="CX63" si="102">IF(CC63,80,"")</f>
        <v/>
      </c>
      <c r="CY63" s="32" t="str">
        <f t="shared" ref="CY63" si="103">IF(CC63,100,"")</f>
        <v/>
      </c>
      <c r="DE63" s="39" t="s">
        <v>495</v>
      </c>
      <c r="DF63" s="1">
        <f>MAX(DF50,2*DF56)</f>
        <v>46.480000000000004</v>
      </c>
      <c r="DG63" s="1" t="s">
        <v>23</v>
      </c>
    </row>
    <row r="64" spans="2:145" ht="15" hidden="1" customHeight="1" x14ac:dyDescent="0.2">
      <c r="B64" s="145"/>
      <c r="C64" s="146"/>
      <c r="D64" s="146"/>
      <c r="E64" s="147"/>
      <c r="F64" s="142"/>
      <c r="G64" s="143"/>
      <c r="H64" s="143"/>
      <c r="I64" s="144"/>
      <c r="J64" s="140"/>
      <c r="K64" s="141"/>
      <c r="L64" s="76"/>
      <c r="M64" s="77"/>
      <c r="N64" s="76"/>
      <c r="O64" s="79"/>
      <c r="P64" s="95"/>
      <c r="Q64" s="87"/>
      <c r="R64" s="145"/>
      <c r="S64" s="146"/>
      <c r="T64" s="146"/>
      <c r="U64" s="146"/>
      <c r="V64" s="146"/>
      <c r="W64" s="147"/>
      <c r="X64" s="83"/>
      <c r="Y64" s="84"/>
      <c r="Z64" s="88"/>
      <c r="AA64" s="77"/>
      <c r="AB64" s="78"/>
      <c r="AC64" s="79"/>
      <c r="AF64" s="4" t="s">
        <v>59</v>
      </c>
      <c r="AG64" s="5"/>
      <c r="AH64" s="5"/>
      <c r="AI64" s="5"/>
      <c r="AJ64" s="5"/>
      <c r="AK64" s="5"/>
      <c r="AL64" s="5"/>
      <c r="AM64" s="5"/>
      <c r="AN64" s="5"/>
      <c r="AO64" s="6"/>
      <c r="AR64" s="7" t="s">
        <v>100</v>
      </c>
      <c r="AS64" s="8"/>
      <c r="AT64" s="8"/>
      <c r="AU64" s="8"/>
      <c r="AV64" s="8"/>
      <c r="AW64" s="8"/>
      <c r="AX64" s="8"/>
      <c r="AY64" s="8"/>
      <c r="AZ64" s="8"/>
      <c r="BA64" s="9"/>
      <c r="BC64" s="1">
        <v>4</v>
      </c>
      <c r="BD64" s="7" t="s">
        <v>638</v>
      </c>
      <c r="BE64" s="8"/>
      <c r="BF64" s="8"/>
      <c r="BG64" s="8"/>
      <c r="BH64" s="8"/>
      <c r="BI64" s="8"/>
      <c r="BJ64" s="8"/>
      <c r="BK64" s="8"/>
      <c r="BL64" s="8"/>
      <c r="BM64" s="9"/>
      <c r="CB64" s="32"/>
      <c r="CC64" s="16"/>
      <c r="CD64" s="108"/>
      <c r="CE64" s="111"/>
      <c r="CF64" s="112"/>
      <c r="CG64" s="108"/>
      <c r="CH64" s="32"/>
      <c r="CI64" s="32"/>
      <c r="CJ64" s="32"/>
      <c r="CK64" s="32"/>
      <c r="CL64" s="32"/>
      <c r="CM64" s="16"/>
      <c r="CN64" s="32"/>
      <c r="CO64" s="32"/>
      <c r="CP64" s="116"/>
      <c r="CQ64" s="32"/>
      <c r="CR64" s="32"/>
      <c r="CS64" s="32"/>
      <c r="CT64" s="32"/>
      <c r="CU64" s="32"/>
      <c r="CV64" s="32"/>
      <c r="CW64" s="32"/>
      <c r="CX64" s="16"/>
      <c r="CY64" s="32"/>
    </row>
    <row r="65" spans="2:111" ht="15" hidden="1" customHeight="1" x14ac:dyDescent="0.2">
      <c r="B65" s="148"/>
      <c r="C65" s="149"/>
      <c r="D65" s="149"/>
      <c r="E65" s="149"/>
      <c r="F65" s="149"/>
      <c r="G65" s="149"/>
      <c r="H65" s="149"/>
      <c r="I65" s="149"/>
      <c r="J65" s="149"/>
      <c r="K65" s="149"/>
      <c r="L65" s="149"/>
      <c r="M65" s="149"/>
      <c r="N65" s="149"/>
      <c r="O65" s="149"/>
      <c r="P65" s="149"/>
      <c r="Q65" s="150"/>
      <c r="R65" s="136"/>
      <c r="S65" s="137"/>
      <c r="T65" s="137"/>
      <c r="U65" s="137"/>
      <c r="V65" s="137"/>
      <c r="W65" s="138"/>
      <c r="X65" s="85"/>
      <c r="Y65" s="86"/>
      <c r="Z65" s="89"/>
      <c r="AA65" s="82"/>
      <c r="AB65" s="80"/>
      <c r="AC65" s="97"/>
      <c r="AF65" s="7" t="s">
        <v>353</v>
      </c>
      <c r="AG65" s="8"/>
      <c r="AH65" s="8"/>
      <c r="AI65" s="8"/>
      <c r="AJ65" s="8"/>
      <c r="AK65" s="8"/>
      <c r="AL65" s="8"/>
      <c r="AM65" s="8"/>
      <c r="AN65" s="8"/>
      <c r="AO65" s="9"/>
      <c r="AR65" s="7" t="s">
        <v>101</v>
      </c>
      <c r="AS65" s="8"/>
      <c r="AT65" s="8"/>
      <c r="AU65" s="8"/>
      <c r="AV65" s="8"/>
      <c r="AW65" s="8"/>
      <c r="AX65" s="8"/>
      <c r="AY65" s="8"/>
      <c r="AZ65" s="8"/>
      <c r="BA65" s="9"/>
      <c r="BC65" s="1">
        <v>5</v>
      </c>
      <c r="BD65" s="7" t="s">
        <v>649</v>
      </c>
      <c r="BE65" s="8"/>
      <c r="BF65" s="8"/>
      <c r="BG65" s="8"/>
      <c r="BH65" s="8"/>
      <c r="BI65" s="8"/>
      <c r="BJ65" s="8"/>
      <c r="BK65" s="8"/>
      <c r="BL65" s="8"/>
      <c r="BM65" s="9"/>
      <c r="BO65" s="15"/>
      <c r="BP65" s="227" t="s">
        <v>484</v>
      </c>
      <c r="BQ65" s="228"/>
      <c r="BR65" s="228"/>
      <c r="BS65" s="228"/>
      <c r="BT65" s="228"/>
      <c r="BU65" s="228"/>
      <c r="BV65" s="228"/>
      <c r="BW65" s="228"/>
      <c r="BX65" s="228"/>
      <c r="BY65" s="229"/>
      <c r="CB65" s="32" t="s">
        <v>450</v>
      </c>
      <c r="CC65" s="16">
        <f>IF(SUM($CU$13:$CU$41)&lt;1,CS33,0)</f>
        <v>0</v>
      </c>
      <c r="CD65" s="108" t="str">
        <f t="shared" si="15"/>
        <v/>
      </c>
      <c r="CE65" s="111" t="str">
        <f t="shared" si="16"/>
        <v/>
      </c>
      <c r="CF65" s="112" t="str">
        <f>IF(J66="dauernd",7.5,"")</f>
        <v/>
      </c>
      <c r="CG65" s="108" t="str">
        <f>IF(J66="dauernd",10,"")</f>
        <v/>
      </c>
      <c r="CH65" s="32" t="str">
        <f>IF(J66="dauernd",15,"")</f>
        <v/>
      </c>
      <c r="CI65" s="32" t="str">
        <f>IF(J66="dauernd",20,"")</f>
        <v/>
      </c>
      <c r="CJ65" s="32" t="str">
        <f>IF(J66="dauernd",25,"")</f>
        <v/>
      </c>
      <c r="CK65" s="32" t="str">
        <f>IF(J66="dauernd",30,"")</f>
        <v/>
      </c>
      <c r="CL65" s="32" t="str">
        <f>IF(J66="dauernd",35,"")</f>
        <v/>
      </c>
      <c r="CM65" s="16" t="str">
        <f>IF(J66="dauernd",40,"")</f>
        <v/>
      </c>
      <c r="CN65" s="32" t="str">
        <f>IF(J66="dauernd",50,"")</f>
        <v/>
      </c>
      <c r="CO65" s="32" t="str">
        <f>IF(J66="dauernd",60,"")</f>
        <v/>
      </c>
      <c r="CP65" s="116" t="str">
        <f t="shared" ref="CP65" si="104">IF(CC65,20,"")</f>
        <v/>
      </c>
      <c r="CQ65" s="32" t="str">
        <f t="shared" ref="CQ65" si="105">IF(CC65,30,"")</f>
        <v/>
      </c>
      <c r="CR65" s="32" t="str">
        <f t="shared" ref="CR65" si="106">IF(CC65,40,"")</f>
        <v/>
      </c>
      <c r="CS65" s="32" t="str">
        <f t="shared" ref="CS65" si="107">IF(CC65,45,"")</f>
        <v/>
      </c>
      <c r="CT65" s="32" t="str">
        <f t="shared" ref="CT65" si="108">IF(CC65,50,"")</f>
        <v/>
      </c>
      <c r="CU65" s="32" t="str">
        <f t="shared" ref="CU65" si="109">IF(CC65,60,"")</f>
        <v/>
      </c>
      <c r="CV65" s="32" t="str">
        <f t="shared" ref="CV65" si="110">IF(CC65,65,"")</f>
        <v/>
      </c>
      <c r="CW65" s="32" t="str">
        <f t="shared" ref="CW65" si="111">IF(CC65,70,"")</f>
        <v/>
      </c>
      <c r="CX65" s="16" t="str">
        <f t="shared" ref="CX65" si="112">IF(CC65,80,"")</f>
        <v/>
      </c>
      <c r="CY65" s="32" t="str">
        <f t="shared" ref="CY65" si="113">IF(CC65,100,"")</f>
        <v/>
      </c>
      <c r="DD65" s="267" t="s">
        <v>557</v>
      </c>
      <c r="DE65" s="267"/>
      <c r="DF65" s="267"/>
      <c r="DG65" s="267"/>
    </row>
    <row r="66" spans="2:111" ht="15" hidden="1" customHeight="1" x14ac:dyDescent="0.2">
      <c r="B66" s="145"/>
      <c r="C66" s="146"/>
      <c r="D66" s="146"/>
      <c r="E66" s="147"/>
      <c r="F66" s="142"/>
      <c r="G66" s="143"/>
      <c r="H66" s="143"/>
      <c r="I66" s="144"/>
      <c r="J66" s="140"/>
      <c r="K66" s="141"/>
      <c r="L66" s="76"/>
      <c r="M66" s="77"/>
      <c r="N66" s="76"/>
      <c r="O66" s="79"/>
      <c r="P66" s="95"/>
      <c r="Q66" s="87"/>
      <c r="R66" s="145"/>
      <c r="S66" s="146"/>
      <c r="T66" s="146"/>
      <c r="U66" s="146"/>
      <c r="V66" s="146"/>
      <c r="W66" s="147"/>
      <c r="X66" s="83"/>
      <c r="Y66" s="84"/>
      <c r="Z66" s="88"/>
      <c r="AA66" s="77"/>
      <c r="AB66" s="78"/>
      <c r="AC66" s="79"/>
      <c r="AF66" s="4" t="s">
        <v>60</v>
      </c>
      <c r="AG66" s="5"/>
      <c r="AH66" s="5"/>
      <c r="AI66" s="5"/>
      <c r="AJ66" s="5"/>
      <c r="AK66" s="5"/>
      <c r="AL66" s="5"/>
      <c r="AM66" s="5"/>
      <c r="AN66" s="5"/>
      <c r="AO66" s="6"/>
      <c r="AR66" s="7" t="s">
        <v>102</v>
      </c>
      <c r="AS66" s="8"/>
      <c r="AT66" s="8"/>
      <c r="AU66" s="8"/>
      <c r="AV66" s="8"/>
      <c r="AW66" s="8"/>
      <c r="AX66" s="8"/>
      <c r="AY66" s="8"/>
      <c r="AZ66" s="8"/>
      <c r="BA66" s="9"/>
      <c r="BC66" s="1">
        <v>6</v>
      </c>
      <c r="BD66" s="7" t="s">
        <v>650</v>
      </c>
      <c r="BE66" s="8"/>
      <c r="BF66" s="8"/>
      <c r="BG66" s="8"/>
      <c r="BH66" s="8"/>
      <c r="BI66" s="8"/>
      <c r="BJ66" s="8"/>
      <c r="BK66" s="8"/>
      <c r="BL66" s="8"/>
      <c r="BM66" s="9"/>
      <c r="BP66" s="246">
        <f>IF(BD90=1,8,4)</f>
        <v>8</v>
      </c>
      <c r="BQ66" s="247"/>
      <c r="BR66" s="247"/>
      <c r="BS66" s="247"/>
      <c r="BT66" s="247"/>
      <c r="BU66" s="247"/>
      <c r="BV66" s="247"/>
      <c r="BW66" s="247"/>
      <c r="BX66" s="247"/>
      <c r="BY66" s="248"/>
      <c r="CB66" s="32"/>
      <c r="CC66" s="16"/>
      <c r="CD66" s="108"/>
      <c r="CE66" s="111"/>
      <c r="CF66" s="112"/>
      <c r="CG66" s="108"/>
      <c r="CH66" s="32"/>
      <c r="CI66" s="32"/>
      <c r="CJ66" s="32"/>
      <c r="CK66" s="32"/>
      <c r="CL66" s="32"/>
      <c r="CM66" s="16"/>
      <c r="CN66" s="32"/>
      <c r="CO66" s="32"/>
      <c r="CP66" s="116"/>
      <c r="CQ66" s="32"/>
      <c r="CR66" s="32"/>
      <c r="CS66" s="32"/>
      <c r="CT66" s="32"/>
      <c r="CU66" s="32"/>
      <c r="CV66" s="32"/>
      <c r="CW66" s="32"/>
      <c r="CX66" s="16"/>
      <c r="CY66" s="32"/>
      <c r="DE66" s="39" t="s">
        <v>492</v>
      </c>
      <c r="DF66" s="37">
        <f>DF54-CG98</f>
        <v>9.9600000000000009</v>
      </c>
      <c r="DG66" s="1" t="s">
        <v>23</v>
      </c>
    </row>
    <row r="67" spans="2:111" ht="15" hidden="1" customHeight="1" x14ac:dyDescent="0.2">
      <c r="B67" s="148"/>
      <c r="C67" s="149"/>
      <c r="D67" s="149"/>
      <c r="E67" s="149"/>
      <c r="F67" s="149"/>
      <c r="G67" s="149"/>
      <c r="H67" s="149"/>
      <c r="I67" s="149"/>
      <c r="J67" s="149"/>
      <c r="K67" s="149"/>
      <c r="L67" s="149"/>
      <c r="M67" s="149"/>
      <c r="N67" s="149"/>
      <c r="O67" s="149"/>
      <c r="P67" s="149"/>
      <c r="Q67" s="150"/>
      <c r="R67" s="136"/>
      <c r="S67" s="137"/>
      <c r="T67" s="137"/>
      <c r="U67" s="137"/>
      <c r="V67" s="137"/>
      <c r="W67" s="138"/>
      <c r="X67" s="85"/>
      <c r="Y67" s="86"/>
      <c r="Z67" s="89"/>
      <c r="AA67" s="82"/>
      <c r="AB67" s="80"/>
      <c r="AC67" s="97"/>
      <c r="AF67" s="4" t="s">
        <v>62</v>
      </c>
      <c r="AG67" s="5"/>
      <c r="AH67" s="5"/>
      <c r="AI67" s="5"/>
      <c r="AJ67" s="5"/>
      <c r="AK67" s="5"/>
      <c r="AL67" s="5"/>
      <c r="AM67" s="5"/>
      <c r="AN67" s="5"/>
      <c r="AO67" s="6"/>
      <c r="AR67" s="7" t="s">
        <v>103</v>
      </c>
      <c r="AS67" s="8"/>
      <c r="AT67" s="8"/>
      <c r="AU67" s="8"/>
      <c r="AV67" s="8"/>
      <c r="AW67" s="8"/>
      <c r="AX67" s="8"/>
      <c r="AY67" s="8"/>
      <c r="AZ67" s="8"/>
      <c r="BA67" s="9"/>
      <c r="BC67" s="1">
        <v>7</v>
      </c>
      <c r="BD67" s="7" t="s">
        <v>651</v>
      </c>
      <c r="BE67" s="8"/>
      <c r="BF67" s="8"/>
      <c r="BG67" s="8"/>
      <c r="BH67" s="8"/>
      <c r="BI67" s="8"/>
      <c r="BJ67" s="8"/>
      <c r="BK67" s="8"/>
      <c r="BL67" s="8"/>
      <c r="BM67" s="9"/>
      <c r="CB67" s="32" t="s">
        <v>451</v>
      </c>
      <c r="CC67" s="16">
        <f>IF(SUM($CU$13:$CU$41)&lt;1,CS35,0)</f>
        <v>0</v>
      </c>
      <c r="CD67" s="108" t="str">
        <f t="shared" si="15"/>
        <v/>
      </c>
      <c r="CE67" s="111" t="str">
        <f t="shared" si="16"/>
        <v/>
      </c>
      <c r="CF67" s="112" t="str">
        <f>IF(J68="dauernd",7.5,"")</f>
        <v/>
      </c>
      <c r="CG67" s="108" t="str">
        <f>IF(J68="dauernd",10,"")</f>
        <v/>
      </c>
      <c r="CH67" s="32" t="str">
        <f>IF(J68="dauernd",15,"")</f>
        <v/>
      </c>
      <c r="CI67" s="32" t="str">
        <f>IF(J68="dauernd",20,"")</f>
        <v/>
      </c>
      <c r="CJ67" s="32" t="str">
        <f>IF(J68="dauernd",25,"")</f>
        <v/>
      </c>
      <c r="CK67" s="32" t="str">
        <f>IF(J68="dauernd",30,"")</f>
        <v/>
      </c>
      <c r="CL67" s="32" t="str">
        <f>IF(J68="dauernd",35,"")</f>
        <v/>
      </c>
      <c r="CM67" s="16" t="str">
        <f>IF(J68="dauernd",40,"")</f>
        <v/>
      </c>
      <c r="CN67" s="32" t="str">
        <f>IF(J68="dauernd",50,"")</f>
        <v/>
      </c>
      <c r="CO67" s="32" t="str">
        <f>IF(J68="dauernd",60,"")</f>
        <v/>
      </c>
      <c r="CP67" s="116" t="str">
        <f t="shared" ref="CP67" si="114">IF(CC67,20,"")</f>
        <v/>
      </c>
      <c r="CQ67" s="32" t="str">
        <f t="shared" ref="CQ67" si="115">IF(CC67,30,"")</f>
        <v/>
      </c>
      <c r="CR67" s="32" t="str">
        <f t="shared" ref="CR67" si="116">IF(CC67,40,"")</f>
        <v/>
      </c>
      <c r="CS67" s="32" t="str">
        <f t="shared" ref="CS67" si="117">IF(CC67,45,"")</f>
        <v/>
      </c>
      <c r="CT67" s="32" t="str">
        <f t="shared" ref="CT67" si="118">IF(CC67,50,"")</f>
        <v/>
      </c>
      <c r="CU67" s="32" t="str">
        <f t="shared" ref="CU67" si="119">IF(CC67,60,"")</f>
        <v/>
      </c>
      <c r="CV67" s="32" t="str">
        <f t="shared" ref="CV67" si="120">IF(CC67,65,"")</f>
        <v/>
      </c>
      <c r="CW67" s="32" t="str">
        <f t="shared" ref="CW67" si="121">IF(CC67,70,"")</f>
        <v/>
      </c>
      <c r="CX67" s="16" t="str">
        <f t="shared" ref="CX67" si="122">IF(CC67,80,"")</f>
        <v/>
      </c>
      <c r="CY67" s="32" t="str">
        <f t="shared" ref="CY67" si="123">IF(CC67,100,"")</f>
        <v/>
      </c>
      <c r="DE67" s="39" t="s">
        <v>493</v>
      </c>
      <c r="DF67" s="37">
        <f>DF54</f>
        <v>9.9600000000000009</v>
      </c>
      <c r="DG67" s="1" t="s">
        <v>23</v>
      </c>
    </row>
    <row r="68" spans="2:111" ht="15" hidden="1" customHeight="1" x14ac:dyDescent="0.2">
      <c r="B68" s="145"/>
      <c r="C68" s="146"/>
      <c r="D68" s="146"/>
      <c r="E68" s="147"/>
      <c r="F68" s="142"/>
      <c r="G68" s="143"/>
      <c r="H68" s="143"/>
      <c r="I68" s="144"/>
      <c r="J68" s="140"/>
      <c r="K68" s="141"/>
      <c r="L68" s="76"/>
      <c r="M68" s="77"/>
      <c r="N68" s="76"/>
      <c r="O68" s="79"/>
      <c r="P68" s="95"/>
      <c r="Q68" s="87"/>
      <c r="R68" s="145"/>
      <c r="S68" s="146"/>
      <c r="T68" s="146"/>
      <c r="U68" s="146"/>
      <c r="V68" s="146"/>
      <c r="W68" s="147"/>
      <c r="X68" s="83"/>
      <c r="Y68" s="84"/>
      <c r="Z68" s="88"/>
      <c r="AA68" s="77"/>
      <c r="AB68" s="78"/>
      <c r="AC68" s="79"/>
      <c r="AF68" s="4" t="s">
        <v>63</v>
      </c>
      <c r="AG68" s="5"/>
      <c r="AH68" s="5"/>
      <c r="AI68" s="5"/>
      <c r="AJ68" s="5"/>
      <c r="AK68" s="5"/>
      <c r="AL68" s="5"/>
      <c r="AM68" s="5"/>
      <c r="AN68" s="5"/>
      <c r="AO68" s="6"/>
      <c r="AR68" s="7" t="s">
        <v>104</v>
      </c>
      <c r="AS68" s="8"/>
      <c r="AT68" s="8"/>
      <c r="AU68" s="8"/>
      <c r="AV68" s="8"/>
      <c r="AW68" s="8"/>
      <c r="AX68" s="8"/>
      <c r="AY68" s="8"/>
      <c r="AZ68" s="8"/>
      <c r="BA68" s="9"/>
      <c r="BD68" s="219">
        <f>IF(H29=BD61,1,IF(H29=BD62,2,IF(H29=BD63,3,IF(H29=BD64,4,IF(H29=BD65,5,IF(H29=BD66,6,IF(H29=BD67,7,"")))))))</f>
        <v>2</v>
      </c>
      <c r="BE68" s="220"/>
      <c r="BF68" s="220"/>
      <c r="BG68" s="220"/>
      <c r="BH68" s="220"/>
      <c r="BI68" s="220"/>
      <c r="BJ68" s="220"/>
      <c r="BK68" s="220"/>
      <c r="BL68" s="220"/>
      <c r="BM68" s="221"/>
      <c r="BP68" s="7"/>
      <c r="BQ68" s="8"/>
      <c r="BR68" s="8"/>
      <c r="BS68" s="8"/>
      <c r="BT68" s="8"/>
      <c r="BU68" s="8"/>
      <c r="BV68" s="8"/>
      <c r="BW68" s="8"/>
      <c r="BX68" s="8"/>
      <c r="BY68" s="9">
        <f>POWER(BP58/BP66,0.5)</f>
        <v>0.5</v>
      </c>
      <c r="CB68" s="32"/>
      <c r="CC68" s="16"/>
      <c r="CD68" s="108"/>
      <c r="CE68" s="111"/>
      <c r="CF68" s="112"/>
      <c r="CG68" s="108"/>
      <c r="CH68" s="32"/>
      <c r="CI68" s="32"/>
      <c r="CJ68" s="32"/>
      <c r="CK68" s="32"/>
      <c r="CL68" s="32"/>
      <c r="CM68" s="16"/>
      <c r="CN68" s="32"/>
      <c r="CO68" s="32"/>
      <c r="CP68" s="116"/>
      <c r="CQ68" s="32"/>
      <c r="CR68" s="32"/>
      <c r="CS68" s="32"/>
      <c r="CT68" s="32"/>
      <c r="CU68" s="32"/>
      <c r="CV68" s="32"/>
      <c r="CW68" s="32"/>
      <c r="CX68" s="16"/>
      <c r="CY68" s="32"/>
      <c r="DE68" s="39" t="s">
        <v>494</v>
      </c>
      <c r="DF68" s="37">
        <f>DF56-CG98</f>
        <v>23.240000000000002</v>
      </c>
      <c r="DG68" s="1" t="s">
        <v>23</v>
      </c>
    </row>
    <row r="69" spans="2:111" ht="15" hidden="1" customHeight="1" x14ac:dyDescent="0.2">
      <c r="B69" s="148"/>
      <c r="C69" s="149"/>
      <c r="D69" s="149"/>
      <c r="E69" s="149"/>
      <c r="F69" s="149"/>
      <c r="G69" s="149"/>
      <c r="H69" s="149"/>
      <c r="I69" s="149"/>
      <c r="J69" s="149"/>
      <c r="K69" s="149"/>
      <c r="L69" s="149"/>
      <c r="M69" s="149"/>
      <c r="N69" s="149"/>
      <c r="O69" s="149"/>
      <c r="P69" s="149"/>
      <c r="Q69" s="150"/>
      <c r="R69" s="136"/>
      <c r="S69" s="137"/>
      <c r="T69" s="137"/>
      <c r="U69" s="137"/>
      <c r="V69" s="137"/>
      <c r="W69" s="138"/>
      <c r="X69" s="85"/>
      <c r="Y69" s="86"/>
      <c r="Z69" s="89"/>
      <c r="AA69" s="82"/>
      <c r="AB69" s="80"/>
      <c r="AC69" s="97"/>
      <c r="AF69" s="4" t="s">
        <v>64</v>
      </c>
      <c r="AG69" s="5"/>
      <c r="AH69" s="5"/>
      <c r="AI69" s="5"/>
      <c r="AJ69" s="5"/>
      <c r="AK69" s="5"/>
      <c r="AL69" s="5"/>
      <c r="AM69" s="5"/>
      <c r="AN69" s="5"/>
      <c r="AO69" s="6"/>
      <c r="AR69" s="7" t="s">
        <v>105</v>
      </c>
      <c r="AS69" s="8"/>
      <c r="AT69" s="8"/>
      <c r="AU69" s="8"/>
      <c r="AV69" s="8"/>
      <c r="AW69" s="8"/>
      <c r="AX69" s="8"/>
      <c r="AY69" s="8"/>
      <c r="AZ69" s="8"/>
      <c r="BA69" s="9"/>
      <c r="CB69" s="32" t="s">
        <v>452</v>
      </c>
      <c r="CC69" s="16">
        <f>IF(SUM($CU$13:$CU$41)&lt;1,CS37,0)</f>
        <v>0</v>
      </c>
      <c r="CD69" s="108" t="str">
        <f t="shared" si="15"/>
        <v/>
      </c>
      <c r="CE69" s="111" t="str">
        <f t="shared" si="16"/>
        <v/>
      </c>
      <c r="CF69" s="112" t="str">
        <f>IF(J70="dauernd",7.5,"")</f>
        <v/>
      </c>
      <c r="CG69" s="108" t="str">
        <f>IF(J70="dauernd",10,"")</f>
        <v/>
      </c>
      <c r="CH69" s="32" t="str">
        <f>IF(J70="dauernd",15,"")</f>
        <v/>
      </c>
      <c r="CI69" s="32" t="str">
        <f>IF(J70="dauernd",20,"")</f>
        <v/>
      </c>
      <c r="CJ69" s="32" t="str">
        <f>IF(J70="dauernd",25,"")</f>
        <v/>
      </c>
      <c r="CK69" s="32" t="str">
        <f>IF(J70="dauernd",30,"")</f>
        <v/>
      </c>
      <c r="CL69" s="32" t="str">
        <f>IF(J70="dauernd",35,"")</f>
        <v/>
      </c>
      <c r="CM69" s="16" t="str">
        <f>IF(J70="dauernd",40,"")</f>
        <v/>
      </c>
      <c r="CN69" s="32" t="str">
        <f>IF(J70="dauernd",50,"")</f>
        <v/>
      </c>
      <c r="CO69" s="32" t="str">
        <f>IF(J70="dauernd",60,"")</f>
        <v/>
      </c>
      <c r="CP69" s="116" t="str">
        <f t="shared" ref="CP69" si="124">IF(CC69,20,"")</f>
        <v/>
      </c>
      <c r="CQ69" s="32" t="str">
        <f t="shared" ref="CQ69" si="125">IF(CC69,30,"")</f>
        <v/>
      </c>
      <c r="CR69" s="32" t="str">
        <f t="shared" ref="CR69" si="126">IF(CC69,40,"")</f>
        <v/>
      </c>
      <c r="CS69" s="32" t="str">
        <f t="shared" ref="CS69" si="127">IF(CC69,45,"")</f>
        <v/>
      </c>
      <c r="CT69" s="32" t="str">
        <f t="shared" ref="CT69" si="128">IF(CC69,50,"")</f>
        <v/>
      </c>
      <c r="CU69" s="32" t="str">
        <f t="shared" ref="CU69" si="129">IF(CC69,60,"")</f>
        <v/>
      </c>
      <c r="CV69" s="32" t="str">
        <f t="shared" ref="CV69" si="130">IF(CC69,65,"")</f>
        <v/>
      </c>
      <c r="CW69" s="32" t="str">
        <f t="shared" ref="CW69" si="131">IF(CC69,70,"")</f>
        <v/>
      </c>
      <c r="CX69" s="16" t="str">
        <f t="shared" ref="CX69" si="132">IF(CC69,80,"")</f>
        <v/>
      </c>
      <c r="CY69" s="32" t="str">
        <f t="shared" ref="CY69" si="133">IF(CC69,100,"")</f>
        <v/>
      </c>
      <c r="DE69" s="39" t="s">
        <v>495</v>
      </c>
      <c r="DF69" s="1">
        <f>DF56</f>
        <v>23.240000000000002</v>
      </c>
      <c r="DG69" s="1" t="s">
        <v>23</v>
      </c>
    </row>
    <row r="70" spans="2:111" ht="15" hidden="1" customHeight="1" x14ac:dyDescent="0.2">
      <c r="B70" s="145"/>
      <c r="C70" s="146"/>
      <c r="D70" s="146"/>
      <c r="E70" s="147"/>
      <c r="F70" s="142"/>
      <c r="G70" s="143"/>
      <c r="H70" s="143"/>
      <c r="I70" s="144"/>
      <c r="J70" s="140"/>
      <c r="K70" s="141"/>
      <c r="L70" s="76"/>
      <c r="M70" s="77"/>
      <c r="N70" s="76"/>
      <c r="O70" s="79"/>
      <c r="P70" s="95"/>
      <c r="Q70" s="87"/>
      <c r="R70" s="145"/>
      <c r="S70" s="146"/>
      <c r="T70" s="146"/>
      <c r="U70" s="146"/>
      <c r="V70" s="146"/>
      <c r="W70" s="147"/>
      <c r="X70" s="83"/>
      <c r="Y70" s="84"/>
      <c r="Z70" s="88"/>
      <c r="AA70" s="77"/>
      <c r="AB70" s="78"/>
      <c r="AC70" s="79"/>
      <c r="AF70" s="7" t="s">
        <v>354</v>
      </c>
      <c r="AG70" s="8"/>
      <c r="AH70" s="8"/>
      <c r="AI70" s="8"/>
      <c r="AJ70" s="8"/>
      <c r="AK70" s="8"/>
      <c r="AL70" s="8"/>
      <c r="AM70" s="8"/>
      <c r="AN70" s="8"/>
      <c r="AO70" s="9"/>
      <c r="AR70" s="7" t="s">
        <v>106</v>
      </c>
      <c r="AS70" s="8"/>
      <c r="AT70" s="8"/>
      <c r="AU70" s="8"/>
      <c r="AV70" s="8"/>
      <c r="AW70" s="8"/>
      <c r="AX70" s="8"/>
      <c r="AY70" s="8"/>
      <c r="AZ70" s="8"/>
      <c r="BA70" s="9"/>
      <c r="BD70" s="227" t="s">
        <v>1</v>
      </c>
      <c r="BE70" s="228"/>
      <c r="BF70" s="228"/>
      <c r="BG70" s="228"/>
      <c r="BH70" s="228"/>
      <c r="BI70" s="228"/>
      <c r="BJ70" s="228"/>
      <c r="BK70" s="228"/>
      <c r="BL70" s="228"/>
      <c r="BM70" s="229"/>
      <c r="BP70" s="227" t="s">
        <v>568</v>
      </c>
      <c r="BQ70" s="228"/>
      <c r="BR70" s="228"/>
      <c r="BS70" s="228"/>
      <c r="BT70" s="228"/>
      <c r="BU70" s="228"/>
      <c r="BV70" s="228"/>
      <c r="BW70" s="228"/>
      <c r="BX70" s="228"/>
      <c r="BY70" s="229"/>
      <c r="CB70" s="32"/>
      <c r="CC70" s="16"/>
      <c r="CD70" s="108"/>
      <c r="CE70" s="111"/>
      <c r="CF70" s="112"/>
      <c r="CG70" s="108"/>
      <c r="CH70" s="32"/>
      <c r="CI70" s="32"/>
      <c r="CJ70" s="32"/>
      <c r="CK70" s="32"/>
      <c r="CL70" s="32"/>
      <c r="CM70" s="16"/>
      <c r="CN70" s="32"/>
      <c r="CO70" s="32"/>
      <c r="CP70" s="116"/>
      <c r="CQ70" s="32"/>
      <c r="CR70" s="32"/>
      <c r="CS70" s="32"/>
      <c r="CT70" s="32"/>
      <c r="CU70" s="32"/>
      <c r="CV70" s="32"/>
      <c r="CW70" s="32"/>
      <c r="CX70" s="16"/>
      <c r="CY70" s="32"/>
    </row>
    <row r="71" spans="2:111" ht="15" hidden="1" customHeight="1" x14ac:dyDescent="0.2">
      <c r="B71" s="148"/>
      <c r="C71" s="149"/>
      <c r="D71" s="149"/>
      <c r="E71" s="149"/>
      <c r="F71" s="149"/>
      <c r="G71" s="149"/>
      <c r="H71" s="149"/>
      <c r="I71" s="149"/>
      <c r="J71" s="149"/>
      <c r="K71" s="149"/>
      <c r="L71" s="149"/>
      <c r="M71" s="149"/>
      <c r="N71" s="149"/>
      <c r="O71" s="149"/>
      <c r="P71" s="149"/>
      <c r="Q71" s="150"/>
      <c r="R71" s="136"/>
      <c r="S71" s="137"/>
      <c r="T71" s="137"/>
      <c r="U71" s="137"/>
      <c r="V71" s="137"/>
      <c r="W71" s="138"/>
      <c r="X71" s="85"/>
      <c r="Y71" s="86"/>
      <c r="Z71" s="89"/>
      <c r="AA71" s="82"/>
      <c r="AB71" s="80"/>
      <c r="AC71" s="97"/>
      <c r="AF71" s="4" t="s">
        <v>65</v>
      </c>
      <c r="AG71" s="5"/>
      <c r="AH71" s="5"/>
      <c r="AI71" s="5"/>
      <c r="AJ71" s="5"/>
      <c r="AK71" s="5"/>
      <c r="AL71" s="5"/>
      <c r="AM71" s="5"/>
      <c r="AN71" s="5"/>
      <c r="AO71" s="6"/>
      <c r="AR71" s="7" t="s">
        <v>107</v>
      </c>
      <c r="AS71" s="8"/>
      <c r="AT71" s="8"/>
      <c r="AU71" s="8"/>
      <c r="AV71" s="8"/>
      <c r="AW71" s="8"/>
      <c r="AX71" s="8"/>
      <c r="AY71" s="8"/>
      <c r="AZ71" s="8"/>
      <c r="BA71" s="9"/>
      <c r="BC71" s="1">
        <v>1</v>
      </c>
      <c r="BD71" s="4" t="s">
        <v>408</v>
      </c>
      <c r="BE71" s="5"/>
      <c r="BF71" s="5"/>
      <c r="BG71" s="5"/>
      <c r="BH71" s="5"/>
      <c r="BI71" s="5"/>
      <c r="BJ71" s="5"/>
      <c r="BK71" s="5"/>
      <c r="BL71" s="5"/>
      <c r="BM71" s="6"/>
      <c r="BP71" s="7"/>
      <c r="BQ71" s="8"/>
      <c r="BR71" s="9" t="s">
        <v>569</v>
      </c>
      <c r="BS71" s="16">
        <v>2</v>
      </c>
      <c r="BT71" s="16">
        <v>3</v>
      </c>
      <c r="BU71" s="16">
        <v>4</v>
      </c>
      <c r="BV71" s="16">
        <v>5</v>
      </c>
      <c r="BW71" s="16">
        <v>6</v>
      </c>
      <c r="BX71" s="16">
        <v>7</v>
      </c>
      <c r="BY71" s="16">
        <v>8</v>
      </c>
      <c r="CB71" s="32" t="s">
        <v>453</v>
      </c>
      <c r="CC71" s="16">
        <f>IF(SUM($CU$13:$CU$41)&lt;1,CS39,0)</f>
        <v>0</v>
      </c>
      <c r="CD71" s="108" t="str">
        <f t="shared" si="15"/>
        <v/>
      </c>
      <c r="CE71" s="111" t="str">
        <f t="shared" si="16"/>
        <v/>
      </c>
      <c r="CF71" s="112" t="str">
        <f>IF(J72="dauernd",7.5,"")</f>
        <v/>
      </c>
      <c r="CG71" s="108" t="str">
        <f>IF(J72="dauernd",10,"")</f>
        <v/>
      </c>
      <c r="CH71" s="32" t="str">
        <f>IF(J72="dauernd",15,"")</f>
        <v/>
      </c>
      <c r="CI71" s="32" t="str">
        <f>IF(J72="dauernd",20,"")</f>
        <v/>
      </c>
      <c r="CJ71" s="32" t="str">
        <f>IF(J72="dauernd",25,"")</f>
        <v/>
      </c>
      <c r="CK71" s="32" t="str">
        <f>IF(J72="dauernd",30,"")</f>
        <v/>
      </c>
      <c r="CL71" s="32" t="str">
        <f>IF(J72="dauernd",35,"")</f>
        <v/>
      </c>
      <c r="CM71" s="16" t="str">
        <f>IF(J72="dauernd",40,"")</f>
        <v/>
      </c>
      <c r="CN71" s="32" t="str">
        <f>IF(J72="dauernd",50,"")</f>
        <v/>
      </c>
      <c r="CO71" s="32" t="str">
        <f>IF(J72="dauernd",60,"")</f>
        <v/>
      </c>
      <c r="CP71" s="116" t="str">
        <f t="shared" ref="CP71" si="134">IF(CC71,20,"")</f>
        <v/>
      </c>
      <c r="CQ71" s="32" t="str">
        <f t="shared" ref="CQ71" si="135">IF(CC71,30,"")</f>
        <v/>
      </c>
      <c r="CR71" s="32" t="str">
        <f t="shared" ref="CR71" si="136">IF(CC71,40,"")</f>
        <v/>
      </c>
      <c r="CS71" s="32" t="str">
        <f t="shared" ref="CS71" si="137">IF(CC71,45,"")</f>
        <v/>
      </c>
      <c r="CT71" s="32" t="str">
        <f t="shared" ref="CT71" si="138">IF(CC71,50,"")</f>
        <v/>
      </c>
      <c r="CU71" s="32" t="str">
        <f t="shared" ref="CU71" si="139">IF(CC71,60,"")</f>
        <v/>
      </c>
      <c r="CV71" s="32" t="str">
        <f t="shared" ref="CV71" si="140">IF(CC71,65,"")</f>
        <v/>
      </c>
      <c r="CW71" s="32" t="str">
        <f t="shared" ref="CW71" si="141">IF(CC71,70,"")</f>
        <v/>
      </c>
      <c r="CX71" s="16" t="str">
        <f t="shared" ref="CX71" si="142">IF(CC71,80,"")</f>
        <v/>
      </c>
      <c r="CY71" s="32" t="str">
        <f t="shared" ref="CY71" si="143">IF(CC71,100,"")</f>
        <v/>
      </c>
    </row>
    <row r="72" spans="2:111" ht="15" hidden="1" customHeight="1" x14ac:dyDescent="0.2">
      <c r="B72" s="145"/>
      <c r="C72" s="146"/>
      <c r="D72" s="146"/>
      <c r="E72" s="147"/>
      <c r="F72" s="142"/>
      <c r="G72" s="143"/>
      <c r="H72" s="143"/>
      <c r="I72" s="144"/>
      <c r="J72" s="140"/>
      <c r="K72" s="141"/>
      <c r="L72" s="76"/>
      <c r="M72" s="77"/>
      <c r="N72" s="76"/>
      <c r="O72" s="79"/>
      <c r="P72" s="95"/>
      <c r="Q72" s="87"/>
      <c r="R72" s="145"/>
      <c r="S72" s="146"/>
      <c r="T72" s="146"/>
      <c r="U72" s="146"/>
      <c r="V72" s="146"/>
      <c r="W72" s="147"/>
      <c r="X72" s="83"/>
      <c r="Y72" s="84"/>
      <c r="Z72" s="88"/>
      <c r="AA72" s="77"/>
      <c r="AB72" s="78"/>
      <c r="AC72" s="79"/>
      <c r="AF72" s="4" t="s">
        <v>66</v>
      </c>
      <c r="AG72" s="5"/>
      <c r="AH72" s="5"/>
      <c r="AI72" s="5"/>
      <c r="AJ72" s="5"/>
      <c r="AK72" s="5"/>
      <c r="AL72" s="5"/>
      <c r="AM72" s="5"/>
      <c r="AN72" s="5"/>
      <c r="AO72" s="6"/>
      <c r="AQ72" s="13"/>
      <c r="AR72" s="7" t="s">
        <v>108</v>
      </c>
      <c r="AS72" s="8"/>
      <c r="AT72" s="8"/>
      <c r="AU72" s="8"/>
      <c r="AV72" s="8"/>
      <c r="AW72" s="8"/>
      <c r="AX72" s="8"/>
      <c r="AY72" s="8"/>
      <c r="AZ72" s="8"/>
      <c r="BA72" s="9"/>
      <c r="BC72" s="1">
        <v>2</v>
      </c>
      <c r="BD72" s="4" t="s">
        <v>407</v>
      </c>
      <c r="BE72" s="8"/>
      <c r="BF72" s="8"/>
      <c r="BG72" s="8"/>
      <c r="BH72" s="8"/>
      <c r="BI72" s="8"/>
      <c r="BJ72" s="8"/>
      <c r="BK72" s="8"/>
      <c r="BL72" s="8"/>
      <c r="BM72" s="9"/>
      <c r="BP72" s="7"/>
      <c r="BQ72" s="8"/>
      <c r="BR72" s="52" t="e">
        <f>IF($BD$68=1,BR97,IF($BD$68=2,#REF!,IF($BD$68=3,#REF!,IF($BD$68=4,BR124,IF($BD$68=5,BR147,IF($BD$68=6,BR170,IF($BD$68=7,BR193,"")))))))</f>
        <v>#REF!</v>
      </c>
      <c r="BS72" s="81" t="e">
        <f>IF($BD$68=1,BS97,IF($BD$68=2,#REF!,IF($BD$68=3,#REF!,IF($BD$68=4,BS124,IF($BD$68=5,BS147,IF($BD$68=6,BS170,IF($BD$68=7,BS193,"")))))))</f>
        <v>#REF!</v>
      </c>
      <c r="BT72" s="81" t="e">
        <f>IF($BD$68=1,BT97,IF($BD$68=2,#REF!,IF($BD$68=3,#REF!,IF($BD$68=4,BT124,IF($BD$68=5,BT147,IF($BD$68=6,BT170,IF($BD$68=7,BT193,"")))))))</f>
        <v>#REF!</v>
      </c>
      <c r="BU72" s="81" t="e">
        <f>IF($BD$68=1,BU97,IF($BD$68=2,#REF!,IF($BD$68=3,#REF!,IF($BD$68=4,BU124,IF($BD$68=5,BU147,IF($BD$68=6,BU170,IF($BD$68=7,BU193,"")))))))</f>
        <v>#REF!</v>
      </c>
      <c r="BV72" s="81" t="e">
        <f>IF($BD$68=1,BV97,IF($BD$68=2,#REF!,IF($BD$68=3,#REF!,IF($BD$68=4,BV124,IF($BD$68=5,BV147,IF($BD$68=6,BV170,IF($BD$68=7,BV193,"")))))))</f>
        <v>#REF!</v>
      </c>
      <c r="BW72" s="81" t="e">
        <f>IF($BD$68=1,BW97,IF($BD$68=2,#REF!,IF($BD$68=3,#REF!,IF($BD$68=4,BW124,IF($BD$68=5,BW147,IF($BD$68=6,BW170,IF($BD$68=7,BW193,"")))))))</f>
        <v>#REF!</v>
      </c>
      <c r="BX72" s="81" t="e">
        <f>IF($BD$68=1,BX97,IF($BD$68=2,#REF!,IF($BD$68=3,#REF!,IF($BD$68=4,BX124,IF($BD$68=5,BX147,IF($BD$68=6,BX170,IF($BD$68=7,BX193,"")))))))</f>
        <v>#REF!</v>
      </c>
      <c r="BY72" s="81" t="e">
        <f>IF($BD$68=1,BY97,IF($BD$68=2,#REF!,IF($BD$68=3,#REF!,IF($BD$68=4,BY124,IF($BD$68=5,BY147,IF($BD$68=6,BY170,IF($BD$68=7,BY193,"")))))))</f>
        <v>#REF!</v>
      </c>
      <c r="CB72" s="32"/>
      <c r="CC72" s="16"/>
      <c r="CD72" s="108"/>
      <c r="CE72" s="111"/>
      <c r="CF72" s="112"/>
      <c r="CG72" s="108"/>
      <c r="CH72" s="32"/>
      <c r="CI72" s="32"/>
      <c r="CJ72" s="32"/>
      <c r="CK72" s="32"/>
      <c r="CL72" s="32"/>
      <c r="CM72" s="16"/>
      <c r="CN72" s="32"/>
      <c r="CO72" s="32"/>
      <c r="CP72" s="116"/>
      <c r="CQ72" s="32"/>
      <c r="CR72" s="32"/>
      <c r="CS72" s="32"/>
      <c r="CT72" s="32"/>
      <c r="CU72" s="32"/>
      <c r="CV72" s="32"/>
      <c r="CW72" s="32"/>
      <c r="CX72" s="16"/>
      <c r="CY72" s="32"/>
    </row>
    <row r="73" spans="2:111" ht="15" hidden="1" customHeight="1" thickBot="1" x14ac:dyDescent="0.25">
      <c r="B73" s="148"/>
      <c r="C73" s="149"/>
      <c r="D73" s="149"/>
      <c r="E73" s="149"/>
      <c r="F73" s="149"/>
      <c r="G73" s="149"/>
      <c r="H73" s="149"/>
      <c r="I73" s="149"/>
      <c r="J73" s="149"/>
      <c r="K73" s="149"/>
      <c r="L73" s="149"/>
      <c r="M73" s="149"/>
      <c r="N73" s="149"/>
      <c r="O73" s="149"/>
      <c r="P73" s="149"/>
      <c r="Q73" s="150"/>
      <c r="R73" s="136"/>
      <c r="S73" s="137"/>
      <c r="T73" s="137"/>
      <c r="U73" s="137"/>
      <c r="V73" s="137"/>
      <c r="W73" s="138"/>
      <c r="X73" s="85"/>
      <c r="Y73" s="86"/>
      <c r="Z73" s="89"/>
      <c r="AA73" s="82"/>
      <c r="AB73" s="80"/>
      <c r="AC73" s="97"/>
      <c r="AF73" s="4" t="s">
        <v>67</v>
      </c>
      <c r="AG73" s="5"/>
      <c r="AH73" s="5"/>
      <c r="AI73" s="5"/>
      <c r="AJ73" s="5"/>
      <c r="AK73" s="5"/>
      <c r="AL73" s="5"/>
      <c r="AM73" s="5"/>
      <c r="AN73" s="5"/>
      <c r="AO73" s="6"/>
      <c r="AQ73" s="15"/>
      <c r="AR73" s="4" t="s">
        <v>109</v>
      </c>
      <c r="AS73" s="5"/>
      <c r="AT73" s="5"/>
      <c r="AU73" s="5"/>
      <c r="AV73" s="5"/>
      <c r="AW73" s="5"/>
      <c r="AX73" s="5"/>
      <c r="AY73" s="5"/>
      <c r="AZ73" s="5"/>
      <c r="BA73" s="6"/>
      <c r="BC73" s="1">
        <v>2</v>
      </c>
      <c r="BD73" s="4" t="s">
        <v>405</v>
      </c>
      <c r="BE73" s="5"/>
      <c r="BF73" s="5"/>
      <c r="BG73" s="5"/>
      <c r="BH73" s="5"/>
      <c r="BI73" s="5"/>
      <c r="BJ73" s="5"/>
      <c r="BK73" s="5"/>
      <c r="BL73" s="5"/>
      <c r="BM73" s="6"/>
      <c r="BP73" s="7"/>
      <c r="BQ73" s="8"/>
      <c r="BR73" s="52" t="e">
        <f>IF($BD$68=1,BR98,IF($BD$68=2,#REF!,IF($BD$68=3,#REF!,IF($BD$68=4,BR125,IF($BD$68=5,BR148,IF($BD$68=6,BR171,IF($BD$68=7,BR194,"")))))))</f>
        <v>#REF!</v>
      </c>
      <c r="BS73" s="81" t="e">
        <f>IF($BD$68=1,BS98,IF($BD$68=2,#REF!,IF($BD$68=3,#REF!,IF($BD$68=4,BS125,IF($BD$68=5,BS148,IF($BD$68=6,BS171,IF($BD$68=7,BS194,"")))))))</f>
        <v>#REF!</v>
      </c>
      <c r="BT73" s="81" t="e">
        <f>IF($BD$68=1,BT98,IF($BD$68=2,#REF!,IF($BD$68=3,#REF!,IF($BD$68=4,BT125,IF($BD$68=5,BT148,IF($BD$68=6,BT171,IF($BD$68=7,BT194,"")))))))</f>
        <v>#REF!</v>
      </c>
      <c r="BU73" s="81" t="e">
        <f>IF($BD$68=1,BU98,IF($BD$68=2,#REF!,IF($BD$68=3,#REF!,IF($BD$68=4,BU125,IF($BD$68=5,BU148,IF($BD$68=6,BU171,IF($BD$68=7,BU194,"")))))))</f>
        <v>#REF!</v>
      </c>
      <c r="BV73" s="81" t="e">
        <f>IF($BD$68=1,BV98,IF($BD$68=2,#REF!,IF($BD$68=3,#REF!,IF($BD$68=4,BV125,IF($BD$68=5,BV148,IF($BD$68=6,BV171,IF($BD$68=7,BV194,"")))))))</f>
        <v>#REF!</v>
      </c>
      <c r="BW73" s="81" t="e">
        <f>IF($BD$68=1,BW98,IF($BD$68=2,#REF!,IF($BD$68=3,#REF!,IF($BD$68=4,BW125,IF($BD$68=5,BW148,IF($BD$68=6,BW171,IF($BD$68=7,BW194,"")))))))</f>
        <v>#REF!</v>
      </c>
      <c r="BX73" s="81" t="e">
        <f>IF($BD$68=1,BX98,IF($BD$68=2,#REF!,IF($BD$68=3,#REF!,IF($BD$68=4,BX125,IF($BD$68=5,BX148,IF($BD$68=6,BX171,IF($BD$68=7,BX194,"")))))))</f>
        <v>#REF!</v>
      </c>
      <c r="BY73" s="81" t="e">
        <f>IF($BD$68=1,BY98,IF($BD$68=2,#REF!,IF($BD$68=3,#REF!,IF($BD$68=4,BY125,IF($BD$68=5,BY148,IF($BD$68=6,BY171,IF($BD$68=7,BY194,"")))))))</f>
        <v>#REF!</v>
      </c>
      <c r="CB73" s="32" t="s">
        <v>454</v>
      </c>
      <c r="CC73" s="16">
        <f>IF(SUM($CU$13:$CU$41)&lt;1,CS41,0)</f>
        <v>0</v>
      </c>
      <c r="CD73" s="108" t="str">
        <f t="shared" si="15"/>
        <v/>
      </c>
      <c r="CE73" s="111" t="str">
        <f t="shared" si="16"/>
        <v/>
      </c>
      <c r="CF73" s="113" t="str">
        <f>IF(J74="dauernd",7.5,"")</f>
        <v/>
      </c>
      <c r="CG73" s="114" t="str">
        <f>IF(J74="dauernd",10,"")</f>
        <v/>
      </c>
      <c r="CH73" s="115" t="str">
        <f>IF(J74="dauernd",15,"")</f>
        <v/>
      </c>
      <c r="CI73" s="115" t="str">
        <f>IF(J74="dauernd",20,"")</f>
        <v/>
      </c>
      <c r="CJ73" s="115" t="str">
        <f>IF(J74="dauernd",25,"")</f>
        <v/>
      </c>
      <c r="CK73" s="115" t="str">
        <f>IF(J74="dauernd",30,"")</f>
        <v/>
      </c>
      <c r="CL73" s="115" t="str">
        <f>IF(J74="dauernd",35,"")</f>
        <v/>
      </c>
      <c r="CM73" s="16" t="str">
        <f>IF(J74="dauernd",40,"")</f>
        <v/>
      </c>
      <c r="CN73" s="32" t="str">
        <f>IF(J74="dauernd",50,"")</f>
        <v/>
      </c>
      <c r="CO73" s="32" t="str">
        <f>IF(J74="dauernd",60,"")</f>
        <v/>
      </c>
      <c r="CP73" s="117" t="str">
        <f t="shared" ref="CP73" si="144">IF(CC73,20,"")</f>
        <v/>
      </c>
      <c r="CQ73" s="115" t="str">
        <f t="shared" ref="CQ73" si="145">IF(CC73,30,"")</f>
        <v/>
      </c>
      <c r="CR73" s="115" t="str">
        <f t="shared" ref="CR73" si="146">IF(CC73,40,"")</f>
        <v/>
      </c>
      <c r="CS73" s="115" t="str">
        <f t="shared" ref="CS73" si="147">IF(CC73,45,"")</f>
        <v/>
      </c>
      <c r="CT73" s="115" t="str">
        <f t="shared" ref="CT73" si="148">IF(CC73,50,"")</f>
        <v/>
      </c>
      <c r="CU73" s="115" t="str">
        <f t="shared" ref="CU73" si="149">IF(CC73,60,"")</f>
        <v/>
      </c>
      <c r="CV73" s="115" t="str">
        <f t="shared" ref="CV73" si="150">IF(CC73,65,"")</f>
        <v/>
      </c>
      <c r="CW73" s="115" t="str">
        <f t="shared" ref="CW73" si="151">IF(CC73,70,"")</f>
        <v/>
      </c>
      <c r="CX73" s="16" t="str">
        <f t="shared" ref="CX73" si="152">IF(CC73,80,"")</f>
        <v/>
      </c>
      <c r="CY73" s="32" t="str">
        <f t="shared" ref="CY73" si="153">IF(CC73,100,"")</f>
        <v/>
      </c>
    </row>
    <row r="74" spans="2:111" ht="15" hidden="1" customHeight="1" x14ac:dyDescent="0.2">
      <c r="B74" s="145"/>
      <c r="C74" s="146"/>
      <c r="D74" s="146"/>
      <c r="E74" s="147"/>
      <c r="F74" s="142"/>
      <c r="G74" s="143"/>
      <c r="H74" s="143"/>
      <c r="I74" s="144"/>
      <c r="J74" s="140"/>
      <c r="K74" s="141"/>
      <c r="L74" s="76"/>
      <c r="M74" s="77"/>
      <c r="N74" s="76"/>
      <c r="O74" s="79"/>
      <c r="P74" s="95"/>
      <c r="Q74" s="87"/>
      <c r="R74" s="145"/>
      <c r="S74" s="146"/>
      <c r="T74" s="146"/>
      <c r="U74" s="146"/>
      <c r="V74" s="146"/>
      <c r="W74" s="147"/>
      <c r="X74" s="83"/>
      <c r="Y74" s="84"/>
      <c r="Z74" s="88"/>
      <c r="AA74" s="77"/>
      <c r="AB74" s="78"/>
      <c r="AC74" s="79"/>
      <c r="AF74" s="7" t="s">
        <v>355</v>
      </c>
      <c r="AG74" s="8"/>
      <c r="AH74" s="8"/>
      <c r="AI74" s="8"/>
      <c r="AJ74" s="8"/>
      <c r="AK74" s="8"/>
      <c r="AL74" s="8"/>
      <c r="AM74" s="8"/>
      <c r="AN74" s="8"/>
      <c r="AO74" s="9"/>
      <c r="AQ74" s="21"/>
      <c r="AR74" s="7" t="s">
        <v>110</v>
      </c>
      <c r="AS74" s="8"/>
      <c r="AT74" s="8"/>
      <c r="AU74" s="8"/>
      <c r="AV74" s="8"/>
      <c r="AW74" s="8"/>
      <c r="AX74" s="8"/>
      <c r="AY74" s="8"/>
      <c r="AZ74" s="8"/>
      <c r="BA74" s="9"/>
      <c r="BC74" s="1">
        <v>1</v>
      </c>
      <c r="BD74" s="4" t="s">
        <v>406</v>
      </c>
      <c r="BE74" s="8"/>
      <c r="BF74" s="8"/>
      <c r="BG74" s="8"/>
      <c r="BH74" s="8"/>
      <c r="BI74" s="8"/>
      <c r="BJ74" s="8"/>
      <c r="BK74" s="8"/>
      <c r="BL74" s="8"/>
      <c r="BM74" s="9"/>
      <c r="BP74" s="7"/>
      <c r="BQ74" s="8"/>
      <c r="BR74" s="52" t="e">
        <f>IF($BD$68=1,BR99,IF($BD$68=2,#REF!,IF($BD$68=3,BR103,IF($BD$68=4,BR126,IF($BD$68=5,BR149,IF($BD$68=6,BR172,IF($BD$68=7,BR195,"")))))))</f>
        <v>#REF!</v>
      </c>
      <c r="BS74" s="81" t="e">
        <f>IF($BD$68=1,BS99,IF($BD$68=2,#REF!,IF($BD$68=3,BS103,IF($BD$68=4,BS126,IF($BD$68=5,BS149,IF($BD$68=6,BS172,IF($BD$68=7,BS195,"")))))))</f>
        <v>#REF!</v>
      </c>
      <c r="BT74" s="81" t="e">
        <f>IF($BD$68=1,BT99,IF($BD$68=2,#REF!,IF($BD$68=3,BT103,IF($BD$68=4,BT126,IF($BD$68=5,BT149,IF($BD$68=6,BT172,IF($BD$68=7,BT195,"")))))))</f>
        <v>#REF!</v>
      </c>
      <c r="BU74" s="81" t="e">
        <f>IF($BD$68=1,BU99,IF($BD$68=2,#REF!,IF($BD$68=3,BU103,IF($BD$68=4,BU126,IF($BD$68=5,BU149,IF($BD$68=6,BU172,IF($BD$68=7,BU195,"")))))))</f>
        <v>#REF!</v>
      </c>
      <c r="BV74" s="81" t="e">
        <f>IF($BD$68=1,BV99,IF($BD$68=2,#REF!,IF($BD$68=3,BV103,IF($BD$68=4,BV126,IF($BD$68=5,BV149,IF($BD$68=6,BV172,IF($BD$68=7,BV195,"")))))))</f>
        <v>#REF!</v>
      </c>
      <c r="BW74" s="81" t="e">
        <f>IF($BD$68=1,BW99,IF($BD$68=2,#REF!,IF($BD$68=3,BW103,IF($BD$68=4,BW126,IF($BD$68=5,BW149,IF($BD$68=6,BW172,IF($BD$68=7,BW195,"")))))))</f>
        <v>#REF!</v>
      </c>
      <c r="BX74" s="81" t="e">
        <f>IF($BD$68=1,BX99,IF($BD$68=2,#REF!,IF($BD$68=3,BX103,IF($BD$68=4,BX126,IF($BD$68=5,BX149,IF($BD$68=6,BX172,IF($BD$68=7,BX195,"")))))))</f>
        <v>#REF!</v>
      </c>
      <c r="BY74" s="81" t="e">
        <f>IF($BD$68=1,BY99,IF($BD$68=2,#REF!,IF($BD$68=3,BY103,IF($BD$68=4,BY126,IF($BD$68=5,BY149,IF($BD$68=6,BY172,IF($BD$68=7,BY195,"")))))))</f>
        <v>#REF!</v>
      </c>
      <c r="CB74" s="35"/>
      <c r="CD74" s="109"/>
      <c r="CE74" s="109"/>
      <c r="CF74" s="109"/>
      <c r="CG74" s="35"/>
      <c r="CH74" s="35"/>
      <c r="CI74" s="35"/>
      <c r="CJ74" s="35"/>
      <c r="CK74" s="35"/>
      <c r="CL74" s="35"/>
      <c r="CM74" s="35"/>
      <c r="CN74" s="35"/>
      <c r="CO74" s="109"/>
      <c r="CP74" s="35"/>
      <c r="CQ74" s="35"/>
      <c r="CR74" s="35"/>
      <c r="CS74" s="35"/>
      <c r="CT74" s="35"/>
      <c r="CU74" s="35"/>
      <c r="CV74" s="35"/>
      <c r="CW74" s="35"/>
      <c r="CX74" s="35"/>
      <c r="CY74" s="35"/>
    </row>
    <row r="75" spans="2:111" ht="15" hidden="1" customHeight="1" x14ac:dyDescent="0.2">
      <c r="B75" s="148"/>
      <c r="C75" s="149"/>
      <c r="D75" s="149"/>
      <c r="E75" s="149"/>
      <c r="F75" s="149"/>
      <c r="G75" s="149"/>
      <c r="H75" s="149"/>
      <c r="I75" s="149"/>
      <c r="J75" s="149"/>
      <c r="K75" s="149"/>
      <c r="L75" s="149"/>
      <c r="M75" s="149"/>
      <c r="N75" s="149"/>
      <c r="O75" s="149"/>
      <c r="P75" s="149"/>
      <c r="Q75" s="150"/>
      <c r="R75" s="136"/>
      <c r="S75" s="137"/>
      <c r="T75" s="137"/>
      <c r="U75" s="137"/>
      <c r="V75" s="137"/>
      <c r="W75" s="138"/>
      <c r="X75" s="85"/>
      <c r="Y75" s="86"/>
      <c r="Z75" s="89"/>
      <c r="AA75" s="82"/>
      <c r="AB75" s="80"/>
      <c r="AC75" s="96"/>
      <c r="AF75" s="4" t="s">
        <v>68</v>
      </c>
      <c r="AG75" s="5"/>
      <c r="AH75" s="5"/>
      <c r="AI75" s="5"/>
      <c r="AJ75" s="5"/>
      <c r="AK75" s="5"/>
      <c r="AL75" s="5"/>
      <c r="AM75" s="5"/>
      <c r="AN75" s="5"/>
      <c r="AO75" s="6"/>
      <c r="AQ75" s="63"/>
      <c r="AR75" s="7" t="s">
        <v>111</v>
      </c>
      <c r="AS75" s="8"/>
      <c r="AT75" s="8"/>
      <c r="AU75" s="8"/>
      <c r="AV75" s="8"/>
      <c r="AW75" s="8"/>
      <c r="AX75" s="8"/>
      <c r="AY75" s="8"/>
      <c r="AZ75" s="8"/>
      <c r="BA75" s="9"/>
      <c r="BD75" s="219">
        <f>IF(OR(V21=BD73,V21=BD72),2,1)</f>
        <v>2</v>
      </c>
      <c r="BE75" s="220"/>
      <c r="BF75" s="220"/>
      <c r="BG75" s="220"/>
      <c r="BH75" s="220"/>
      <c r="BI75" s="220"/>
      <c r="BJ75" s="220"/>
      <c r="BK75" s="220"/>
      <c r="BL75" s="220"/>
      <c r="BM75" s="221"/>
      <c r="BP75" s="7"/>
      <c r="BQ75" s="8"/>
      <c r="BR75" s="52" t="e">
        <f>IF($BD$68=1,BR100,IF($BD$68=2,#REF!,IF($BD$68=3,BR104,IF($BD$68=4,BR127,IF($BD$68=5,BR150,IF($BD$68=6,BR173,IF($BD$68=7,BR196,"")))))))</f>
        <v>#REF!</v>
      </c>
      <c r="BS75" s="81" t="e">
        <f>IF($BD$68=1,BS100,IF($BD$68=2,#REF!,IF($BD$68=3,BS109,IF($BD$68=4,BS132,IF($BD$68=5,BS155,IF($BD$68=6,BS178,IF($BD$68=7,BS201,"")))))))</f>
        <v>#REF!</v>
      </c>
      <c r="BT75" s="81" t="e">
        <f>IF($BD$68=1,BT100,IF($BD$68=2,#REF!,IF($BD$68=3,BT109,IF($BD$68=4,BT132,IF($BD$68=5,BT155,IF($BD$68=6,BT178,IF($BD$68=7,BT201,"")))))))</f>
        <v>#REF!</v>
      </c>
      <c r="BU75" s="81" t="e">
        <f>IF($BD$68=1,BU100,IF($BD$68=2,#REF!,IF($BD$68=3,BU109,IF($BD$68=4,BU132,IF($BD$68=5,BU155,IF($BD$68=6,BU178,IF($BD$68=7,BU201,"")))))))</f>
        <v>#REF!</v>
      </c>
      <c r="BV75" s="81" t="e">
        <f>IF($BD$68=1,BV100,IF($BD$68=2,#REF!,IF($BD$68=3,BV109,IF($BD$68=4,BV132,IF($BD$68=5,BV155,IF($BD$68=6,BV178,IF($BD$68=7,BV201,"")))))))</f>
        <v>#REF!</v>
      </c>
      <c r="BW75" s="81" t="e">
        <f>IF($BD$68=1,BW100,IF($BD$68=2,#REF!,IF($BD$68=3,BW109,IF($BD$68=4,BW132,IF($BD$68=5,BW155,IF($BD$68=6,BW178,IF($BD$68=7,BW201,"")))))))</f>
        <v>#REF!</v>
      </c>
      <c r="BX75" s="81" t="e">
        <f>IF($BD$68=1,BX100,IF($BD$68=2,#REF!,IF($BD$68=3,BX109,IF($BD$68=4,BX132,IF($BD$68=5,BX155,IF($BD$68=6,BX178,IF($BD$68=7,BX201,"")))))))</f>
        <v>#REF!</v>
      </c>
      <c r="BY75" s="81" t="e">
        <f>IF($BD$68=1,BY100,IF($BD$68=2,#REF!,IF($BD$68=3,BY109,IF($BD$68=4,BY132,IF($BD$68=5,BY155,IF($BD$68=6,BY178,IF($BD$68=7,BY201,"")))))))</f>
        <v>#REF!</v>
      </c>
      <c r="CB75" s="227" t="s">
        <v>425</v>
      </c>
      <c r="CC75" s="228"/>
      <c r="CD75" s="228"/>
      <c r="CE75" s="228"/>
      <c r="CF75" s="228"/>
      <c r="CG75" s="228"/>
      <c r="CH75" s="228"/>
      <c r="CI75" s="228"/>
      <c r="CJ75" s="228"/>
      <c r="CK75" s="229"/>
      <c r="CL75" s="15"/>
      <c r="CM75" s="15"/>
      <c r="CN75" s="15"/>
    </row>
    <row r="76" spans="2:111" ht="15" customHeight="1" x14ac:dyDescent="0.2">
      <c r="AF76" s="4" t="s">
        <v>69</v>
      </c>
      <c r="AG76" s="5"/>
      <c r="AH76" s="5"/>
      <c r="AI76" s="5"/>
      <c r="AJ76" s="5"/>
      <c r="AK76" s="5"/>
      <c r="AL76" s="5"/>
      <c r="AM76" s="5"/>
      <c r="AN76" s="5"/>
      <c r="AO76" s="6"/>
      <c r="AQ76" s="63"/>
      <c r="AR76" s="7" t="s">
        <v>112</v>
      </c>
      <c r="AS76" s="8"/>
      <c r="AT76" s="8"/>
      <c r="AU76" s="8"/>
      <c r="AV76" s="8"/>
      <c r="AW76" s="8"/>
      <c r="AX76" s="8"/>
      <c r="AY76" s="8"/>
      <c r="AZ76" s="8"/>
      <c r="BA76" s="9"/>
      <c r="BP76" s="7"/>
      <c r="BQ76" s="8"/>
      <c r="BR76" s="52" t="e">
        <f>IF($BD$68=1,BR101,IF($BD$68=2,#REF!,IF($BD$68=3,BR105,IF($BD$68=4,BR128,IF($BD$68=5,BR151,IF($BD$68=6,BR174,IF($BD$68=7,BR197,"")))))))</f>
        <v>#REF!</v>
      </c>
      <c r="BS76" s="81" t="e">
        <f>IF($BD$68=1,BS101,IF($BD$68=2,#REF!,IF($BD$68=3,BS110,IF($BD$68=4,BS133,IF($BD$68=5,BS156,IF($BD$68=6,BS179,IF($BD$68=7,BS202,"")))))))</f>
        <v>#REF!</v>
      </c>
      <c r="BT76" s="81" t="e">
        <f>IF($BD$68=1,BT101,IF($BD$68=2,#REF!,IF($BD$68=3,BT110,IF($BD$68=4,BT133,IF($BD$68=5,BT156,IF($BD$68=6,BT179,IF($BD$68=7,BT202,"")))))))</f>
        <v>#REF!</v>
      </c>
      <c r="BU76" s="81" t="e">
        <f>IF($BD$68=1,BU101,IF($BD$68=2,#REF!,IF($BD$68=3,BU110,IF($BD$68=4,BU133,IF($BD$68=5,BU156,IF($BD$68=6,BU179,IF($BD$68=7,BU202,"")))))))</f>
        <v>#REF!</v>
      </c>
      <c r="BV76" s="81" t="e">
        <f>IF($BD$68=1,BV101,IF($BD$68=2,#REF!,IF($BD$68=3,BV110,IF($BD$68=4,BV133,IF($BD$68=5,BV156,IF($BD$68=6,BV179,IF($BD$68=7,BV202,"")))))))</f>
        <v>#REF!</v>
      </c>
      <c r="BW76" s="81" t="e">
        <f>IF($BD$68=1,BW101,IF($BD$68=2,#REF!,IF($BD$68=3,BW110,IF($BD$68=4,BW133,IF($BD$68=5,BW156,IF($BD$68=6,BW179,IF($BD$68=7,BW202,"")))))))</f>
        <v>#REF!</v>
      </c>
      <c r="BX76" s="81" t="e">
        <f>IF($BD$68=1,BX101,IF($BD$68=2,#REF!,IF($BD$68=3,BX110,IF($BD$68=4,BX133,IF($BD$68=5,BX156,IF($BD$68=6,BX179,IF($BD$68=7,BX202,"")))))))</f>
        <v>#REF!</v>
      </c>
      <c r="BY76" s="81" t="e">
        <f>IF($BD$68=1,BY101,IF($BD$68=2,#REF!,IF($BD$68=3,BY110,IF($BD$68=4,BY133,IF($BD$68=5,BY156,IF($BD$68=6,BY179,IF($BD$68=7,BY202,"")))))))</f>
        <v>#REF!</v>
      </c>
      <c r="CB76" s="41" t="s">
        <v>428</v>
      </c>
      <c r="CC76" s="42"/>
      <c r="CD76" s="42"/>
      <c r="CE76" s="8"/>
      <c r="CF76" s="9"/>
      <c r="CG76" s="262">
        <f>ROUND(DF54,1)</f>
        <v>10</v>
      </c>
      <c r="CH76" s="263"/>
      <c r="CI76" s="263"/>
      <c r="CJ76" s="8" t="s">
        <v>23</v>
      </c>
      <c r="CK76" s="9"/>
      <c r="CL76" s="2"/>
      <c r="CM76" s="2"/>
      <c r="CN76" s="2"/>
    </row>
    <row r="77" spans="2:111" ht="15" customHeight="1" x14ac:dyDescent="0.2">
      <c r="AF77" s="4" t="s">
        <v>70</v>
      </c>
      <c r="AG77" s="5"/>
      <c r="AH77" s="5"/>
      <c r="AI77" s="5"/>
      <c r="AJ77" s="5"/>
      <c r="AK77" s="5"/>
      <c r="AL77" s="5"/>
      <c r="AM77" s="5"/>
      <c r="AN77" s="5"/>
      <c r="AO77" s="6"/>
      <c r="AQ77" s="63"/>
      <c r="AR77" s="7" t="s">
        <v>113</v>
      </c>
      <c r="AS77" s="8"/>
      <c r="AT77" s="8"/>
      <c r="AU77" s="8"/>
      <c r="AV77" s="8"/>
      <c r="AW77" s="8"/>
      <c r="AX77" s="8"/>
      <c r="AY77" s="8"/>
      <c r="AZ77" s="8"/>
      <c r="BA77" s="9"/>
      <c r="BD77" s="249" t="s">
        <v>500</v>
      </c>
      <c r="BE77" s="250"/>
      <c r="BF77" s="250"/>
      <c r="BG77" s="250"/>
      <c r="BH77" s="250"/>
      <c r="BI77" s="250"/>
      <c r="BJ77" s="250"/>
      <c r="BK77" s="250"/>
      <c r="BL77" s="250"/>
      <c r="BM77" s="251"/>
      <c r="BP77" s="7"/>
      <c r="BQ77" s="8"/>
      <c r="BR77" s="52" t="e">
        <f>IF($BD$68=1,BR102,IF($BD$68=2,#REF!,IF($BD$68=3,BR106,IF($BD$68=4,BR129,IF($BD$68=5,BR152,IF($BD$68=6,BR175,IF($BD$68=7,BR198,"")))))))</f>
        <v>#REF!</v>
      </c>
      <c r="BS77" s="81" t="e">
        <f>IF($BD$68=1,BS102,IF($BD$68=2,#REF!,IF($BD$68=3,BS111,IF($BD$68=4,BS134,IF($BD$68=5,BS157,IF($BD$68=6,BS180,IF($BD$68=7,BS203,"")))))))</f>
        <v>#REF!</v>
      </c>
      <c r="BT77" s="81" t="e">
        <f>IF($BD$68=1,BT102,IF($BD$68=2,#REF!,IF($BD$68=3,BT111,IF($BD$68=4,BT134,IF($BD$68=5,BT157,IF($BD$68=6,BT180,IF($BD$68=7,BT203,"")))))))</f>
        <v>#REF!</v>
      </c>
      <c r="BU77" s="81" t="e">
        <f>IF($BD$68=1,BU102,IF($BD$68=2,#REF!,IF($BD$68=3,BU111,IF($BD$68=4,BU134,IF($BD$68=5,BU157,IF($BD$68=6,BU180,IF($BD$68=7,BU203,"")))))))</f>
        <v>#REF!</v>
      </c>
      <c r="BV77" s="81" t="e">
        <f>IF($BD$68=1,BV102,IF($BD$68=2,#REF!,IF($BD$68=3,BV111,IF($BD$68=4,BV134,IF($BD$68=5,BV157,IF($BD$68=6,BV180,IF($BD$68=7,BV203,"")))))))</f>
        <v>#REF!</v>
      </c>
      <c r="BW77" s="81" t="e">
        <f>IF($BD$68=1,BW102,IF($BD$68=2,#REF!,IF($BD$68=3,BW111,IF($BD$68=4,BW134,IF($BD$68=5,BW157,IF($BD$68=6,BW180,IF($BD$68=7,BW203,"")))))))</f>
        <v>#REF!</v>
      </c>
      <c r="BX77" s="81" t="e">
        <f>IF($BD$68=1,BX102,IF($BD$68=2,#REF!,IF($BD$68=3,BX111,IF($BD$68=4,BX134,IF($BD$68=5,BX157,IF($BD$68=6,BX180,IF($BD$68=7,BX203,"")))))))</f>
        <v>#REF!</v>
      </c>
      <c r="BY77" s="81" t="e">
        <f>IF($BD$68=1,BY102,IF($BD$68=2,#REF!,IF($BD$68=3,BY111,IF($BD$68=4,BY134,IF($BD$68=5,BY157,IF($BD$68=6,BY180,IF($BD$68=7,BY203,"")))))))</f>
        <v>#REF!</v>
      </c>
      <c r="CB77" s="41" t="s">
        <v>431</v>
      </c>
      <c r="CC77" s="42"/>
      <c r="CD77" s="42"/>
      <c r="CE77" s="8"/>
      <c r="CF77" s="9"/>
      <c r="CG77" s="261">
        <f>SUM(DF13:DF41)</f>
        <v>0</v>
      </c>
      <c r="CH77" s="252"/>
      <c r="CI77" s="252"/>
      <c r="CJ77" s="8" t="s">
        <v>23</v>
      </c>
      <c r="CK77" s="9"/>
    </row>
    <row r="78" spans="2:111" ht="15" customHeight="1" x14ac:dyDescent="0.2">
      <c r="AF78" s="4" t="s">
        <v>71</v>
      </c>
      <c r="AG78" s="5"/>
      <c r="AH78" s="5"/>
      <c r="AI78" s="5"/>
      <c r="AJ78" s="5"/>
      <c r="AK78" s="5"/>
      <c r="AL78" s="5"/>
      <c r="AM78" s="5"/>
      <c r="AN78" s="5"/>
      <c r="AO78" s="6"/>
      <c r="AQ78" s="63"/>
      <c r="AR78" s="7" t="s">
        <v>114</v>
      </c>
      <c r="AS78" s="8"/>
      <c r="AT78" s="8"/>
      <c r="AU78" s="8"/>
      <c r="AV78" s="8"/>
      <c r="AW78" s="8"/>
      <c r="AX78" s="8"/>
      <c r="AY78" s="8"/>
      <c r="AZ78" s="8"/>
      <c r="BA78" s="9"/>
      <c r="BD78" s="7" t="s">
        <v>602</v>
      </c>
      <c r="BE78" s="8"/>
      <c r="BF78" s="8"/>
      <c r="BG78" s="8"/>
      <c r="BH78" s="8"/>
      <c r="BI78" s="8"/>
      <c r="BJ78" s="8"/>
      <c r="BK78" s="8"/>
      <c r="BL78" s="8"/>
      <c r="BM78" s="17">
        <v>1</v>
      </c>
      <c r="BP78" s="7"/>
      <c r="BQ78" s="8"/>
      <c r="BR78" s="52" t="e">
        <f>IF($BD$68=1,#REF!,IF($BD$68=2,#REF!,IF($BD$68=3,BR107,IF($BD$68=4,BR130,IF($BD$68=5,BR153,IF($BD$68=6,BR176,IF($BD$68=7,BR199,"")))))))</f>
        <v>#REF!</v>
      </c>
      <c r="BS78" s="81" t="e">
        <f>IF($BD$68=1,#REF!,IF($BD$68=2,#REF!,IF($BD$68=3,BS112,IF($BD$68=4,BS135,IF($BD$68=5,BS158,IF($BD$68=6,BS181,IF($BD$68=7,BS204,"")))))))</f>
        <v>#REF!</v>
      </c>
      <c r="BT78" s="81" t="e">
        <f>IF($BD$68=1,#REF!,IF($BD$68=2,#REF!,IF($BD$68=3,BT112,IF($BD$68=4,BT135,IF($BD$68=5,BT158,IF($BD$68=6,BT181,IF($BD$68=7,BT204,"")))))))</f>
        <v>#REF!</v>
      </c>
      <c r="BU78" s="81" t="e">
        <f>IF($BD$68=1,#REF!,IF($BD$68=2,#REF!,IF($BD$68=3,BU112,IF($BD$68=4,BU135,IF($BD$68=5,BU158,IF($BD$68=6,BU181,IF($BD$68=7,BU204,"")))))))</f>
        <v>#REF!</v>
      </c>
      <c r="BV78" s="81" t="e">
        <f>IF($BD$68=1,#REF!,IF($BD$68=2,#REF!,IF($BD$68=3,BV112,IF($BD$68=4,BV135,IF($BD$68=5,BV158,IF($BD$68=6,BV181,IF($BD$68=7,BV204,"")))))))</f>
        <v>#REF!</v>
      </c>
      <c r="BW78" s="81" t="e">
        <f>IF($BD$68=1,#REF!,IF($BD$68=2,#REF!,IF($BD$68=3,BW112,IF($BD$68=4,BW135,IF($BD$68=5,BW158,IF($BD$68=6,BW181,IF($BD$68=7,BW204,"")))))))</f>
        <v>#REF!</v>
      </c>
      <c r="BX78" s="81" t="e">
        <f>IF($BD$68=1,#REF!,IF($BD$68=2,#REF!,IF($BD$68=3,BX112,IF($BD$68=4,BX135,IF($BD$68=5,BX158,IF($BD$68=6,BX181,IF($BD$68=7,BX204,"")))))))</f>
        <v>#REF!</v>
      </c>
      <c r="BY78" s="81" t="e">
        <f>IF($BD$68=1,#REF!,IF($BD$68=2,#REF!,IF($BD$68=3,BY112,IF($BD$68=4,BY135,IF($BD$68=5,BY158,IF($BD$68=6,BY181,IF($BD$68=7,BY204,"")))))))</f>
        <v>#REF!</v>
      </c>
      <c r="CB78" s="219">
        <f>IF(DF49&gt;0,IF(CG77&gt;=CG76,1,2),0)</f>
        <v>0</v>
      </c>
      <c r="CC78" s="220"/>
      <c r="CD78" s="220"/>
      <c r="CE78" s="220"/>
      <c r="CF78" s="220"/>
      <c r="CG78" s="220"/>
      <c r="CH78" s="220"/>
      <c r="CI78" s="220"/>
      <c r="CJ78" s="220"/>
      <c r="CK78" s="221"/>
    </row>
    <row r="79" spans="2:111" ht="15" customHeight="1" x14ac:dyDescent="0.2">
      <c r="AF79" s="4" t="s">
        <v>72</v>
      </c>
      <c r="AG79" s="5"/>
      <c r="AH79" s="5"/>
      <c r="AI79" s="5"/>
      <c r="AJ79" s="5"/>
      <c r="AK79" s="5"/>
      <c r="AL79" s="5"/>
      <c r="AM79" s="5"/>
      <c r="AN79" s="5"/>
      <c r="AO79" s="6"/>
      <c r="AQ79" s="13"/>
      <c r="AR79" s="7" t="s">
        <v>115</v>
      </c>
      <c r="AS79" s="8"/>
      <c r="AT79" s="8"/>
      <c r="AU79" s="8"/>
      <c r="AV79" s="8"/>
      <c r="AW79" s="8"/>
      <c r="AX79" s="8"/>
      <c r="AY79" s="8"/>
      <c r="AZ79" s="8"/>
      <c r="BA79" s="9"/>
      <c r="BD79" s="7" t="s">
        <v>477</v>
      </c>
      <c r="BE79" s="8"/>
      <c r="BF79" s="8"/>
      <c r="BG79" s="8"/>
      <c r="BH79" s="8"/>
      <c r="BI79" s="8"/>
      <c r="BJ79" s="8"/>
      <c r="BK79" s="8"/>
      <c r="BL79" s="8"/>
      <c r="BM79" s="17">
        <v>1.3</v>
      </c>
      <c r="BP79" s="7"/>
      <c r="BQ79" s="8"/>
      <c r="BR79" s="52" t="e">
        <f>IF($BD$68=1,#REF!,IF($BD$68=2,#REF!,IF($BD$68=3,BR108,IF($BD$68=4,BR131,IF($BD$68=5,BR154,IF($BD$68=6,BR177,IF($BD$68=7,BR200,"")))))))</f>
        <v>#REF!</v>
      </c>
      <c r="BS79" s="81" t="e">
        <f>IF($BD$68=1,#REF!,IF($BD$68=2,#REF!,IF($BD$68=3,BS113,IF($BD$68=4,BS136,IF($BD$68=5,BS159,IF($BD$68=6,BS182,IF($BD$68=7,BS205,"")))))))</f>
        <v>#REF!</v>
      </c>
      <c r="BT79" s="81" t="e">
        <f>IF($BD$68=1,#REF!,IF($BD$68=2,#REF!,IF($BD$68=3,BT113,IF($BD$68=4,BT136,IF($BD$68=5,BT159,IF($BD$68=6,BT182,IF($BD$68=7,BT205,"")))))))</f>
        <v>#REF!</v>
      </c>
      <c r="BU79" s="81" t="e">
        <f>IF($BD$68=1,#REF!,IF($BD$68=2,#REF!,IF($BD$68=3,BU113,IF($BD$68=4,BU136,IF($BD$68=5,BU159,IF($BD$68=6,BU182,IF($BD$68=7,BU205,"")))))))</f>
        <v>#REF!</v>
      </c>
      <c r="BV79" s="81" t="e">
        <f>IF($BD$68=1,#REF!,IF($BD$68=2,#REF!,IF($BD$68=3,BV113,IF($BD$68=4,BV136,IF($BD$68=5,BV159,IF($BD$68=6,BV182,IF($BD$68=7,BV205,"")))))))</f>
        <v>#REF!</v>
      </c>
      <c r="BW79" s="81" t="e">
        <f>IF($BD$68=1,#REF!,IF($BD$68=2,#REF!,IF($BD$68=3,BW113,IF($BD$68=4,BW136,IF($BD$68=5,BW159,IF($BD$68=6,BW182,IF($BD$68=7,BW205,"")))))))</f>
        <v>#REF!</v>
      </c>
      <c r="BX79" s="81" t="e">
        <f>IF($BD$68=1,#REF!,IF($BD$68=2,#REF!,IF($BD$68=3,BX113,IF($BD$68=4,BX136,IF($BD$68=5,BX159,IF($BD$68=6,BX182,IF($BD$68=7,BX205,"")))))))</f>
        <v>#REF!</v>
      </c>
      <c r="BY79" s="81" t="e">
        <f>IF($BD$68=1,#REF!,IF($BD$68=2,#REF!,IF($BD$68=3,BY113,IF($BD$68=4,BY136,IF($BD$68=5,BY159,IF($BD$68=6,BY182,IF($BD$68=7,BY205,"")))))))</f>
        <v>#REF!</v>
      </c>
    </row>
    <row r="80" spans="2:111" ht="15" customHeight="1" x14ac:dyDescent="0.2">
      <c r="AF80" s="7" t="s">
        <v>356</v>
      </c>
      <c r="AG80" s="8"/>
      <c r="AH80" s="8"/>
      <c r="AI80" s="8"/>
      <c r="AJ80" s="8"/>
      <c r="AK80" s="8"/>
      <c r="AL80" s="8"/>
      <c r="AM80" s="8"/>
      <c r="AN80" s="8"/>
      <c r="AO80" s="9"/>
      <c r="AR80" s="7" t="s">
        <v>117</v>
      </c>
      <c r="AS80" s="8"/>
      <c r="AT80" s="8"/>
      <c r="AU80" s="8"/>
      <c r="AV80" s="8"/>
      <c r="AW80" s="8"/>
      <c r="AX80" s="8"/>
      <c r="AY80" s="8"/>
      <c r="AZ80" s="8"/>
      <c r="BA80" s="9"/>
      <c r="BD80" s="219">
        <f>VLOOKUP(V22,BD78:BM79,10,FALSE)</f>
        <v>1</v>
      </c>
      <c r="BE80" s="220"/>
      <c r="BF80" s="220"/>
      <c r="BG80" s="220"/>
      <c r="BH80" s="220"/>
      <c r="BI80" s="220"/>
      <c r="BJ80" s="220"/>
      <c r="BK80" s="220"/>
      <c r="BL80" s="220"/>
      <c r="BM80" s="221"/>
      <c r="BP80" s="7"/>
      <c r="BQ80" s="8"/>
      <c r="BR80" s="52" t="e">
        <f>IF($BD$68=1,#REF!,IF($BD$68=2,#REF!,IF($BD$68=3,BR109,IF($BD$68=4,BR132,IF($BD$68=5,BR155,IF($BD$68=6,BR178,IF($BD$68=7,BR201,"")))))))</f>
        <v>#REF!</v>
      </c>
      <c r="BS80" s="81" t="e">
        <f>IF($BD$68=1,#REF!,IF($BD$68=2,#REF!,IF($BD$68=3,BS109,IF($BD$68=4,BS132,IF($BD$68=5,BS155,IF($BD$68=6,BS178,IF($BD$68=7,BS201,"")))))))</f>
        <v>#REF!</v>
      </c>
      <c r="BT80" s="81" t="e">
        <f>IF($BD$68=1,#REF!,IF($BD$68=2,#REF!,IF($BD$68=3,BT109,IF($BD$68=4,BT132,IF($BD$68=5,BT155,IF($BD$68=6,BT178,IF($BD$68=7,BT201,"")))))))</f>
        <v>#REF!</v>
      </c>
      <c r="BU80" s="81" t="e">
        <f>IF($BD$68=1,#REF!,IF($BD$68=2,#REF!,IF($BD$68=3,BU109,IF($BD$68=4,BU132,IF($BD$68=5,BU155,IF($BD$68=6,BU178,IF($BD$68=7,BU201,"")))))))</f>
        <v>#REF!</v>
      </c>
      <c r="BV80" s="81" t="e">
        <f>IF($BD$68=1,#REF!,IF($BD$68=2,#REF!,IF($BD$68=3,BV109,IF($BD$68=4,BV132,IF($BD$68=5,BV155,IF($BD$68=6,BV178,IF($BD$68=7,BV201,"")))))))</f>
        <v>#REF!</v>
      </c>
      <c r="BW80" s="81" t="e">
        <f>IF($BD$68=1,#REF!,IF($BD$68=2,#REF!,IF($BD$68=3,BW109,IF($BD$68=4,BW132,IF($BD$68=5,BW155,IF($BD$68=6,BW178,IF($BD$68=7,BW201,"")))))))</f>
        <v>#REF!</v>
      </c>
      <c r="BX80" s="81" t="e">
        <f>IF($BD$68=1,#REF!,IF($BD$68=2,#REF!,IF($BD$68=3,BX109,IF($BD$68=4,BX132,IF($BD$68=5,BX155,IF($BD$68=6,BX178,IF($BD$68=7,BX201,"")))))))</f>
        <v>#REF!</v>
      </c>
      <c r="BY80" s="81" t="e">
        <f>IF($BD$68=1,#REF!,IF($BD$68=2,#REF!,IF($BD$68=3,BY109,IF($BD$68=4,BY132,IF($BD$68=5,BY155,IF($BD$68=6,BY178,IF($BD$68=7,BY201,"")))))))</f>
        <v>#REF!</v>
      </c>
      <c r="CB80" s="227" t="s">
        <v>496</v>
      </c>
      <c r="CC80" s="228"/>
      <c r="CD80" s="228"/>
      <c r="CE80" s="228"/>
      <c r="CF80" s="228"/>
      <c r="CG80" s="228"/>
      <c r="CH80" s="228"/>
      <c r="CI80" s="228"/>
      <c r="CJ80" s="228"/>
      <c r="CK80" s="229"/>
    </row>
    <row r="81" spans="31:89" ht="2.25" customHeight="1" x14ac:dyDescent="0.2">
      <c r="AF81" s="4" t="s">
        <v>73</v>
      </c>
      <c r="AG81" s="5"/>
      <c r="AH81" s="5"/>
      <c r="AI81" s="5"/>
      <c r="AJ81" s="5"/>
      <c r="AK81" s="5"/>
      <c r="AL81" s="5"/>
      <c r="AM81" s="5"/>
      <c r="AN81" s="5"/>
      <c r="AO81" s="6"/>
      <c r="AR81" s="7" t="s">
        <v>118</v>
      </c>
      <c r="AS81" s="8"/>
      <c r="AT81" s="8"/>
      <c r="AU81" s="8"/>
      <c r="AV81" s="8"/>
      <c r="AW81" s="8"/>
      <c r="AX81" s="8"/>
      <c r="AY81" s="8"/>
      <c r="AZ81" s="8"/>
      <c r="BA81" s="9"/>
      <c r="BP81" s="7"/>
      <c r="BQ81" s="8"/>
      <c r="BR81" s="52" t="e">
        <f>IF($BD$68=1,#REF!,IF($BD$68=2,#REF!,IF($BD$68=3,BR110,IF($BD$68=4,BR133,IF($BD$68=5,BR156,IF($BD$68=6,BR179,IF($BD$68=7,BR202,"")))))))</f>
        <v>#REF!</v>
      </c>
      <c r="BS81" s="81" t="e">
        <f>IF($BD$68=1,#REF!,IF($BD$68=2,#REF!,IF($BD$68=3,BS110,IF($BD$68=4,BS133,IF($BD$68=5,BS156,IF($BD$68=6,BS179,IF($BD$68=7,BS202,"")))))))</f>
        <v>#REF!</v>
      </c>
      <c r="BT81" s="81" t="e">
        <f>IF($BD$68=1,#REF!,IF($BD$68=2,#REF!,IF($BD$68=3,BT110,IF($BD$68=4,BT133,IF($BD$68=5,BT156,IF($BD$68=6,BT179,IF($BD$68=7,BT202,"")))))))</f>
        <v>#REF!</v>
      </c>
      <c r="BU81" s="81" t="e">
        <f>IF($BD$68=1,#REF!,IF($BD$68=2,#REF!,IF($BD$68=3,BU110,IF($BD$68=4,BU133,IF($BD$68=5,BU156,IF($BD$68=6,BU179,IF($BD$68=7,BU202,"")))))))</f>
        <v>#REF!</v>
      </c>
      <c r="BV81" s="81" t="e">
        <f>IF($BD$68=1,#REF!,IF($BD$68=2,#REF!,IF($BD$68=3,BV110,IF($BD$68=4,BV133,IF($BD$68=5,BV156,IF($BD$68=6,BV179,IF($BD$68=7,BV202,"")))))))</f>
        <v>#REF!</v>
      </c>
      <c r="BW81" s="81" t="e">
        <f>IF($BD$68=1,#REF!,IF($BD$68=2,#REF!,IF($BD$68=3,BW110,IF($BD$68=4,BW133,IF($BD$68=5,BW156,IF($BD$68=6,BW179,IF($BD$68=7,BW202,"")))))))</f>
        <v>#REF!</v>
      </c>
      <c r="BX81" s="81" t="e">
        <f>IF($BD$68=1,#REF!,IF($BD$68=2,#REF!,IF($BD$68=3,BX110,IF($BD$68=4,BX133,IF($BD$68=5,BX156,IF($BD$68=6,BX179,IF($BD$68=7,BX202,"")))))))</f>
        <v>#REF!</v>
      </c>
      <c r="BY81" s="81" t="e">
        <f>IF($BD$68=1,#REF!,IF($BD$68=2,#REF!,IF($BD$68=3,BY110,IF($BD$68=4,BY133,IF($BD$68=5,BY156,IF($BD$68=6,BY179,IF($BD$68=7,BY202,"")))))))</f>
        <v>#REF!</v>
      </c>
      <c r="CB81" s="41" t="s">
        <v>491</v>
      </c>
      <c r="CC81" s="42"/>
      <c r="CD81" s="42"/>
      <c r="CE81" s="8"/>
      <c r="CF81" s="9"/>
      <c r="CG81" s="262">
        <f>ROUND(DF56,1)</f>
        <v>23.2</v>
      </c>
      <c r="CH81" s="263"/>
      <c r="CI81" s="263"/>
      <c r="CJ81" s="8" t="s">
        <v>23</v>
      </c>
      <c r="CK81" s="43"/>
    </row>
    <row r="82" spans="31:89" ht="15" customHeight="1" x14ac:dyDescent="0.2">
      <c r="AF82" s="4" t="s">
        <v>74</v>
      </c>
      <c r="AG82" s="5"/>
      <c r="AH82" s="5"/>
      <c r="AI82" s="5"/>
      <c r="AJ82" s="5"/>
      <c r="AK82" s="5"/>
      <c r="AL82" s="5"/>
      <c r="AM82" s="5"/>
      <c r="AN82" s="5"/>
      <c r="AO82" s="6"/>
      <c r="AR82" s="7" t="s">
        <v>120</v>
      </c>
      <c r="AS82" s="8"/>
      <c r="AT82" s="8"/>
      <c r="AU82" s="8"/>
      <c r="AV82" s="8"/>
      <c r="AW82" s="8"/>
      <c r="AX82" s="8"/>
      <c r="AY82" s="8"/>
      <c r="AZ82" s="8"/>
      <c r="BA82" s="9"/>
      <c r="BD82" s="227" t="s">
        <v>501</v>
      </c>
      <c r="BE82" s="228"/>
      <c r="BF82" s="228"/>
      <c r="BG82" s="228"/>
      <c r="BH82" s="228"/>
      <c r="BI82" s="228"/>
      <c r="BJ82" s="228"/>
      <c r="BK82" s="228"/>
      <c r="BL82" s="228"/>
      <c r="BM82" s="229"/>
      <c r="BP82" s="7"/>
      <c r="BQ82" s="8"/>
      <c r="BR82" s="52" t="e">
        <f>IF($BD$68=1,#REF!,IF($BD$68=2,#REF!,IF($BD$68=3,BR111,IF($BD$68=4,BR134,IF($BD$68=5,BR157,IF($BD$68=6,BR180,IF($BD$68=7,BR203,"")))))))</f>
        <v>#REF!</v>
      </c>
      <c r="BS82" s="81" t="e">
        <f>IF($BD$68=1,#REF!,IF($BD$68=2,#REF!,IF($BD$68=3,BS111,IF($BD$68=4,BS134,IF($BD$68=5,BS157,IF($BD$68=6,BS180,IF($BD$68=7,BS203,"")))))))</f>
        <v>#REF!</v>
      </c>
      <c r="BT82" s="81" t="e">
        <f>IF($BD$68=1,#REF!,IF($BD$68=2,#REF!,IF($BD$68=3,BT111,IF($BD$68=4,BT134,IF($BD$68=5,BT157,IF($BD$68=6,BT180,IF($BD$68=7,BT203,"")))))))</f>
        <v>#REF!</v>
      </c>
      <c r="BU82" s="81" t="e">
        <f>IF($BD$68=1,#REF!,IF($BD$68=2,#REF!,IF($BD$68=3,BU111,IF($BD$68=4,BU134,IF($BD$68=5,BU157,IF($BD$68=6,BU180,IF($BD$68=7,BU203,"")))))))</f>
        <v>#REF!</v>
      </c>
      <c r="BV82" s="81" t="e">
        <f>IF($BD$68=1,#REF!,IF($BD$68=2,#REF!,IF($BD$68=3,BV111,IF($BD$68=4,BV134,IF($BD$68=5,BV157,IF($BD$68=6,BV180,IF($BD$68=7,BV203,"")))))))</f>
        <v>#REF!</v>
      </c>
      <c r="BW82" s="81" t="e">
        <f>IF($BD$68=1,#REF!,IF($BD$68=2,#REF!,IF($BD$68=3,BW111,IF($BD$68=4,BW134,IF($BD$68=5,BW157,IF($BD$68=6,BW180,IF($BD$68=7,BW203,"")))))))</f>
        <v>#REF!</v>
      </c>
      <c r="BX82" s="81" t="e">
        <f>IF($BD$68=1,#REF!,IF($BD$68=2,#REF!,IF($BD$68=3,BX111,IF($BD$68=4,BX134,IF($BD$68=5,BX157,IF($BD$68=6,BX180,IF($BD$68=7,BX203,"")))))))</f>
        <v>#REF!</v>
      </c>
      <c r="BY82" s="81" t="e">
        <f>IF($BD$68=1,#REF!,IF($BD$68=2,#REF!,IF($BD$68=3,BY111,IF($BD$68=4,BY134,IF($BD$68=5,BY157,IF($BD$68=6,BY180,IF($BD$68=7,BY203,"")))))))</f>
        <v>#REF!</v>
      </c>
      <c r="CB82" s="41" t="s">
        <v>490</v>
      </c>
      <c r="CC82" s="42"/>
      <c r="CD82" s="42"/>
      <c r="CE82" s="8"/>
      <c r="CF82" s="9"/>
      <c r="CG82" s="264">
        <f>SUM(DG13:DG41)</f>
        <v>0</v>
      </c>
      <c r="CH82" s="265"/>
      <c r="CI82" s="265"/>
      <c r="CJ82" s="8" t="s">
        <v>23</v>
      </c>
      <c r="CK82" s="43"/>
    </row>
    <row r="83" spans="31:89" ht="15" customHeight="1" x14ac:dyDescent="0.2">
      <c r="AF83" s="4" t="s">
        <v>75</v>
      </c>
      <c r="AG83" s="5"/>
      <c r="AH83" s="5"/>
      <c r="AI83" s="5"/>
      <c r="AJ83" s="5"/>
      <c r="AK83" s="5"/>
      <c r="AL83" s="5"/>
      <c r="AM83" s="5"/>
      <c r="AN83" s="5"/>
      <c r="AO83" s="6"/>
      <c r="AR83" s="7" t="s">
        <v>122</v>
      </c>
      <c r="AS83" s="8"/>
      <c r="AT83" s="8"/>
      <c r="AU83" s="8"/>
      <c r="AV83" s="8"/>
      <c r="AW83" s="8"/>
      <c r="AX83" s="8"/>
      <c r="AY83" s="8"/>
      <c r="AZ83" s="8"/>
      <c r="BA83" s="9"/>
      <c r="BD83" s="41" t="s">
        <v>478</v>
      </c>
      <c r="BE83" s="8"/>
      <c r="BF83" s="8"/>
      <c r="BG83" s="8"/>
      <c r="BH83" s="8"/>
      <c r="BI83" s="8"/>
      <c r="BJ83" s="8"/>
      <c r="BK83" s="8"/>
      <c r="BL83" s="8"/>
      <c r="BM83" s="44">
        <v>1</v>
      </c>
      <c r="BP83" s="7"/>
      <c r="BQ83" s="8"/>
      <c r="BR83" s="52" t="e">
        <f>IF($BD$68=1,#REF!,IF($BD$68=2,#REF!,IF($BD$68=3,BR112,IF($BD$68=4,BR135,IF($BD$68=5,BR158,IF($BD$68=6,BR181,IF($BD$68=7,BR204,"")))))))</f>
        <v>#REF!</v>
      </c>
      <c r="BS83" s="81" t="e">
        <f>IF($BD$68=1,#REF!,IF($BD$68=2,#REF!,IF($BD$68=3,BS112,IF($BD$68=4,BS135,IF($BD$68=5,BS158,IF($BD$68=6,BS181,IF($BD$68=7,BS204,"")))))))</f>
        <v>#REF!</v>
      </c>
      <c r="BT83" s="81" t="e">
        <f>IF($BD$68=1,#REF!,IF($BD$68=2,#REF!,IF($BD$68=3,BT112,IF($BD$68=4,BT135,IF($BD$68=5,BT158,IF($BD$68=6,BT181,IF($BD$68=7,BT204,"")))))))</f>
        <v>#REF!</v>
      </c>
      <c r="BU83" s="81" t="e">
        <f>IF($BD$68=1,#REF!,IF($BD$68=2,#REF!,IF($BD$68=3,BU112,IF($BD$68=4,BU135,IF($BD$68=5,BU158,IF($BD$68=6,BU181,IF($BD$68=7,BU204,"")))))))</f>
        <v>#REF!</v>
      </c>
      <c r="BV83" s="81" t="e">
        <f>IF($BD$68=1,#REF!,IF($BD$68=2,#REF!,IF($BD$68=3,BV112,IF($BD$68=4,BV135,IF($BD$68=5,BV158,IF($BD$68=6,BV181,IF($BD$68=7,BV204,"")))))))</f>
        <v>#REF!</v>
      </c>
      <c r="BW83" s="81" t="e">
        <f>IF($BD$68=1,#REF!,IF($BD$68=2,#REF!,IF($BD$68=3,BW112,IF($BD$68=4,BW135,IF($BD$68=5,BW158,IF($BD$68=6,BW181,IF($BD$68=7,BW204,"")))))))</f>
        <v>#REF!</v>
      </c>
      <c r="BX83" s="81" t="e">
        <f>IF($BD$68=1,#REF!,IF($BD$68=2,#REF!,IF($BD$68=3,BX112,IF($BD$68=4,BX135,IF($BD$68=5,BX158,IF($BD$68=6,BX181,IF($BD$68=7,BX204,"")))))))</f>
        <v>#REF!</v>
      </c>
      <c r="BY83" s="81" t="e">
        <f>IF($BD$68=1,#REF!,IF($BD$68=2,#REF!,IF($BD$68=3,BY112,IF($BD$68=4,BY135,IF($BD$68=5,BY158,IF($BD$68=6,BY181,IF($BD$68=7,BY204,"")))))))</f>
        <v>#REF!</v>
      </c>
      <c r="CB83" s="219">
        <f>IF(DF50&gt;0,IF(CG82&gt;CG81,1,2),0)</f>
        <v>0</v>
      </c>
      <c r="CC83" s="220"/>
      <c r="CD83" s="220"/>
      <c r="CE83" s="220"/>
      <c r="CF83" s="220"/>
      <c r="CG83" s="220"/>
      <c r="CH83" s="220"/>
      <c r="CI83" s="220"/>
      <c r="CJ83" s="220"/>
      <c r="CK83" s="221"/>
    </row>
    <row r="84" spans="31:89" ht="15" customHeight="1" x14ac:dyDescent="0.2">
      <c r="AF84" s="4" t="s">
        <v>76</v>
      </c>
      <c r="AG84" s="5"/>
      <c r="AH84" s="5"/>
      <c r="AI84" s="5"/>
      <c r="AJ84" s="5"/>
      <c r="AK84" s="5"/>
      <c r="AL84" s="5"/>
      <c r="AM84" s="5"/>
      <c r="AN84" s="5"/>
      <c r="AO84" s="6"/>
      <c r="AR84" s="7" t="s">
        <v>124</v>
      </c>
      <c r="AS84" s="8"/>
      <c r="AT84" s="8"/>
      <c r="AU84" s="8"/>
      <c r="AV84" s="8"/>
      <c r="AW84" s="8"/>
      <c r="AX84" s="8"/>
      <c r="AY84" s="8"/>
      <c r="AZ84" s="8"/>
      <c r="BA84" s="9"/>
      <c r="BC84" s="15"/>
      <c r="BD84" s="41" t="s">
        <v>605</v>
      </c>
      <c r="BE84" s="8"/>
      <c r="BF84" s="8"/>
      <c r="BG84" s="8"/>
      <c r="BH84" s="8"/>
      <c r="BI84" s="8"/>
      <c r="BJ84" s="8"/>
      <c r="BK84" s="8"/>
      <c r="BL84" s="8"/>
      <c r="BM84" s="44">
        <v>0.15</v>
      </c>
      <c r="BP84" s="49"/>
      <c r="BQ84" s="50"/>
      <c r="BR84" s="52" t="e">
        <f>IF($BD$68=1,#REF!,IF($BD$68=2,#REF!,IF($BD$68=3,BR113,IF($BD$68=4,BR136,IF($BD$68=5,BR159,IF($BD$68=6,BR182,IF($BD$68=7,BR205,"")))))))</f>
        <v>#REF!</v>
      </c>
      <c r="BS84" s="81" t="e">
        <f>IF($BD$68=1,#REF!,IF($BD$68=2,#REF!,IF($BD$68=3,BS113,IF($BD$68=4,BS136,IF($BD$68=5,BS159,IF($BD$68=6,BS182,IF($BD$68=7,BS205,"")))))))</f>
        <v>#REF!</v>
      </c>
      <c r="BT84" s="81" t="e">
        <f>IF($BD$68=1,#REF!,IF($BD$68=2,#REF!,IF($BD$68=3,BT113,IF($BD$68=4,BT136,IF($BD$68=5,BT159,IF($BD$68=6,BT182,IF($BD$68=7,BT205,"")))))))</f>
        <v>#REF!</v>
      </c>
      <c r="BU84" s="81" t="e">
        <f>IF($BD$68=1,#REF!,IF($BD$68=2,#REF!,IF($BD$68=3,BU113,IF($BD$68=4,BU136,IF($BD$68=5,BU159,IF($BD$68=6,BU182,IF($BD$68=7,BU205,"")))))))</f>
        <v>#REF!</v>
      </c>
      <c r="BV84" s="81" t="e">
        <f>IF($BD$68=1,#REF!,IF($BD$68=2,#REF!,IF($BD$68=3,BV113,IF($BD$68=4,BV136,IF($BD$68=5,BV159,IF($BD$68=6,BV182,IF($BD$68=7,BV205,"")))))))</f>
        <v>#REF!</v>
      </c>
      <c r="BW84" s="81" t="e">
        <f>IF($BD$68=1,#REF!,IF($BD$68=2,#REF!,IF($BD$68=3,BW113,IF($BD$68=4,BW136,IF($BD$68=5,BW159,IF($BD$68=6,BW182,IF($BD$68=7,BW205,"")))))))</f>
        <v>#REF!</v>
      </c>
      <c r="BX84" s="81" t="e">
        <f>IF($BD$68=1,#REF!,IF($BD$68=2,#REF!,IF($BD$68=3,BX113,IF($BD$68=4,BX136,IF($BD$68=5,BX159,IF($BD$68=6,BX182,IF($BD$68=7,BX205,"")))))))</f>
        <v>#REF!</v>
      </c>
      <c r="BY84" s="81" t="e">
        <f>IF($BD$68=1,#REF!,IF($BD$68=2,#REF!,IF($BD$68=3,BY113,IF($BD$68=4,BY136,IF($BD$68=5,BY159,IF($BD$68=6,BY182,IF($BD$68=7,BY205,"")))))))</f>
        <v>#REF!</v>
      </c>
      <c r="CB84" s="13"/>
      <c r="CC84" s="13"/>
      <c r="CD84" s="45"/>
      <c r="CE84" s="46"/>
      <c r="CF84" s="47"/>
      <c r="CG84" s="13"/>
      <c r="CH84" s="13"/>
      <c r="CI84" s="13"/>
      <c r="CJ84" s="13"/>
      <c r="CK84" s="13"/>
    </row>
    <row r="85" spans="31:89" ht="15" customHeight="1" x14ac:dyDescent="0.2">
      <c r="AF85" s="4" t="s">
        <v>77</v>
      </c>
      <c r="AG85" s="5"/>
      <c r="AH85" s="5"/>
      <c r="AI85" s="5"/>
      <c r="AJ85" s="5"/>
      <c r="AK85" s="5"/>
      <c r="AL85" s="5"/>
      <c r="AM85" s="5"/>
      <c r="AN85" s="5"/>
      <c r="AO85" s="6"/>
      <c r="AR85" s="7" t="s">
        <v>125</v>
      </c>
      <c r="AS85" s="8"/>
      <c r="AT85" s="8"/>
      <c r="AU85" s="8"/>
      <c r="AV85" s="8"/>
      <c r="AW85" s="8"/>
      <c r="AX85" s="8"/>
      <c r="AY85" s="8"/>
      <c r="AZ85" s="8"/>
      <c r="BA85" s="9"/>
      <c r="BB85" s="28"/>
      <c r="BC85" s="15"/>
      <c r="BD85" s="219">
        <f>VLOOKUP(V23,BD83:BM84,10,FALSE)</f>
        <v>1</v>
      </c>
      <c r="BE85" s="220"/>
      <c r="BF85" s="220"/>
      <c r="BG85" s="220"/>
      <c r="BH85" s="220"/>
      <c r="BI85" s="220"/>
      <c r="BJ85" s="220"/>
      <c r="BK85" s="220"/>
      <c r="BL85" s="220"/>
      <c r="BM85" s="221"/>
      <c r="BP85" s="49"/>
      <c r="BQ85" s="50"/>
      <c r="BR85" s="52" t="e">
        <f>IF($BD$68=1,#REF!,IF($BD$68=2,#REF!,IF($BD$68=3,BR114,IF($BD$68=4,BR137,IF($BD$68=5,BR160,IF($BD$68=6,BR183,IF($BD$68=7,BR206,"")))))))</f>
        <v>#REF!</v>
      </c>
      <c r="BS85" s="81" t="e">
        <f>IF($BD$68=1,#REF!,IF($BD$68=2,#REF!,IF($BD$68=3,BS114,IF($BD$68=4,BS137,IF($BD$68=5,BS160,IF($BD$68=6,BS183,IF($BD$68=7,BS206,"")))))))</f>
        <v>#REF!</v>
      </c>
      <c r="BT85" s="81" t="e">
        <f>IF($BD$68=1,#REF!,IF($BD$68=2,#REF!,IF($BD$68=3,BT114,IF($BD$68=4,BT137,IF($BD$68=5,BT160,IF($BD$68=6,BT183,IF($BD$68=7,BT206,"")))))))</f>
        <v>#REF!</v>
      </c>
      <c r="BU85" s="81" t="e">
        <f>IF($BD$68=1,#REF!,IF($BD$68=2,#REF!,IF($BD$68=3,BU114,IF($BD$68=4,BU137,IF($BD$68=5,BU160,IF($BD$68=6,BU183,IF($BD$68=7,BU206,"")))))))</f>
        <v>#REF!</v>
      </c>
      <c r="BV85" s="81" t="e">
        <f>IF($BD$68=1,#REF!,IF($BD$68=2,#REF!,IF($BD$68=3,BV114,IF($BD$68=4,BV137,IF($BD$68=5,BV160,IF($BD$68=6,BV183,IF($BD$68=7,BV206,"")))))))</f>
        <v>#REF!</v>
      </c>
      <c r="BW85" s="81" t="e">
        <f>IF($BD$68=1,#REF!,IF($BD$68=2,#REF!,IF($BD$68=3,BW114,IF($BD$68=4,BW137,IF($BD$68=5,BW160,IF($BD$68=6,BW183,IF($BD$68=7,BW206,"")))))))</f>
        <v>#REF!</v>
      </c>
      <c r="BX85" s="81" t="e">
        <f>IF($BD$68=1,#REF!,IF($BD$68=2,#REF!,IF($BD$68=3,BX114,IF($BD$68=4,BX137,IF($BD$68=5,BX160,IF($BD$68=6,BX183,IF($BD$68=7,BX206,"")))))))</f>
        <v>#REF!</v>
      </c>
      <c r="BY85" s="81" t="e">
        <f>IF($BD$68=1,#REF!,IF($BD$68=2,#REF!,IF($BD$68=3,BY114,IF($BD$68=4,BY137,IF($BD$68=5,BY160,IF($BD$68=6,BY183,IF($BD$68=7,BY206,"")))))))</f>
        <v>#REF!</v>
      </c>
      <c r="CB85" s="227" t="s">
        <v>418</v>
      </c>
      <c r="CC85" s="228"/>
      <c r="CD85" s="228"/>
      <c r="CE85" s="228"/>
      <c r="CF85" s="228"/>
      <c r="CG85" s="228"/>
      <c r="CH85" s="228"/>
      <c r="CI85" s="228"/>
      <c r="CJ85" s="228"/>
      <c r="CK85" s="229"/>
    </row>
    <row r="86" spans="31:89" ht="15" customHeight="1" x14ac:dyDescent="0.2">
      <c r="AF86" s="4" t="s">
        <v>78</v>
      </c>
      <c r="AG86" s="5"/>
      <c r="AH86" s="5"/>
      <c r="AI86" s="5"/>
      <c r="AJ86" s="5"/>
      <c r="AK86" s="5"/>
      <c r="AL86" s="5"/>
      <c r="AM86" s="5"/>
      <c r="AN86" s="5"/>
      <c r="AO86" s="6"/>
      <c r="AR86" s="7" t="s">
        <v>126</v>
      </c>
      <c r="AS86" s="8"/>
      <c r="AT86" s="8"/>
      <c r="AU86" s="8"/>
      <c r="AV86" s="8"/>
      <c r="AW86" s="8"/>
      <c r="AX86" s="8"/>
      <c r="AY86" s="8"/>
      <c r="AZ86" s="8"/>
      <c r="BA86" s="9"/>
      <c r="BB86" s="28"/>
      <c r="BP86" s="49"/>
      <c r="BQ86" s="50"/>
      <c r="BR86" s="52" t="e">
        <f>IF($BD$68=1,#REF!,IF($BD$68=2,#REF!,IF($BD$68=3,BR115,IF($BD$68=4,BR138,IF($BD$68=5,BR161,IF($BD$68=6,BR184,IF($BD$68=7,BR207,"")))))))</f>
        <v>#REF!</v>
      </c>
      <c r="BS86" s="81" t="e">
        <f>IF($BD$68=1,#REF!,IF($BD$68=2,#REF!,IF($BD$68=3,BS115,IF($BD$68=4,BS138,IF($BD$68=5,BS161,IF($BD$68=6,BS184,IF($BD$68=7,BS207,"")))))))</f>
        <v>#REF!</v>
      </c>
      <c r="BT86" s="81" t="e">
        <f>IF($BD$68=1,#REF!,IF($BD$68=2,#REF!,IF($BD$68=3,BT115,IF($BD$68=4,BT138,IF($BD$68=5,BT161,IF($BD$68=6,BT184,IF($BD$68=7,BT207,"")))))))</f>
        <v>#REF!</v>
      </c>
      <c r="BU86" s="81" t="e">
        <f>IF($BD$68=1,#REF!,IF($BD$68=2,#REF!,IF($BD$68=3,BU115,IF($BD$68=4,BU138,IF($BD$68=5,BU161,IF($BD$68=6,BU184,IF($BD$68=7,BU207,"")))))))</f>
        <v>#REF!</v>
      </c>
      <c r="BV86" s="81" t="e">
        <f>IF($BD$68=1,#REF!,IF($BD$68=2,#REF!,IF($BD$68=3,BV115,IF($BD$68=4,BV138,IF($BD$68=5,BV161,IF($BD$68=6,BV184,IF($BD$68=7,BV207,"")))))))</f>
        <v>#REF!</v>
      </c>
      <c r="BW86" s="81" t="e">
        <f>IF($BD$68=1,#REF!,IF($BD$68=2,#REF!,IF($BD$68=3,BW115,IF($BD$68=4,BW138,IF($BD$68=5,BW161,IF($BD$68=6,BW184,IF($BD$68=7,BW207,"")))))))</f>
        <v>#REF!</v>
      </c>
      <c r="BX86" s="81" t="e">
        <f>IF($BD$68=1,#REF!,IF($BD$68=2,#REF!,IF($BD$68=3,BX115,IF($BD$68=4,BX138,IF($BD$68=5,BX161,IF($BD$68=6,BX184,IF($BD$68=7,BX207,"")))))))</f>
        <v>#REF!</v>
      </c>
      <c r="BY86" s="81" t="e">
        <f>IF($BD$68=1,#REF!,IF($BD$68=2,#REF!,IF($BD$68=3,BY115,IF($BD$68=4,BY138,IF($BD$68=5,BY161,IF($BD$68=6,BY184,IF($BD$68=7,BY207,"")))))))</f>
        <v>#REF!</v>
      </c>
      <c r="CB86" s="7"/>
      <c r="CC86" s="8"/>
      <c r="CD86" s="8"/>
      <c r="CE86" s="8"/>
      <c r="CF86" s="9"/>
      <c r="CG86" s="9"/>
      <c r="CH86" s="48" t="s">
        <v>426</v>
      </c>
      <c r="CI86" s="16">
        <v>1</v>
      </c>
      <c r="CJ86" s="16">
        <v>8</v>
      </c>
      <c r="CK86" s="16">
        <v>12</v>
      </c>
    </row>
    <row r="87" spans="31:89" ht="15" customHeight="1" x14ac:dyDescent="0.2">
      <c r="AE87" s="15"/>
      <c r="AF87" s="4" t="s">
        <v>79</v>
      </c>
      <c r="AG87" s="5"/>
      <c r="AH87" s="5"/>
      <c r="AI87" s="5"/>
      <c r="AJ87" s="5"/>
      <c r="AK87" s="5"/>
      <c r="AL87" s="5"/>
      <c r="AM87" s="5"/>
      <c r="AN87" s="5"/>
      <c r="AO87" s="6"/>
      <c r="AR87" s="7" t="s">
        <v>127</v>
      </c>
      <c r="AS87" s="8"/>
      <c r="AT87" s="8"/>
      <c r="AU87" s="8"/>
      <c r="AV87" s="8"/>
      <c r="AW87" s="8"/>
      <c r="AX87" s="8"/>
      <c r="AY87" s="8"/>
      <c r="AZ87" s="8"/>
      <c r="BA87" s="9"/>
      <c r="BB87" s="28"/>
      <c r="BD87" s="227" t="s">
        <v>471</v>
      </c>
      <c r="BE87" s="228"/>
      <c r="BF87" s="228"/>
      <c r="BG87" s="228"/>
      <c r="BH87" s="228"/>
      <c r="BI87" s="228"/>
      <c r="BJ87" s="228"/>
      <c r="BK87" s="228"/>
      <c r="BL87" s="228"/>
      <c r="BM87" s="229"/>
      <c r="BP87" s="49"/>
      <c r="BQ87" s="50"/>
      <c r="BR87" s="52" t="e">
        <f>IF($BD$68=1,#REF!,IF($BD$68=2,#REF!,IF($BD$68=3,BR116,IF($BD$68=4,BR139,IF($BD$68=5,BR162,IF($BD$68=6,BR185,IF($BD$68=7,BR208,"")))))))</f>
        <v>#REF!</v>
      </c>
      <c r="BS87" s="81" t="e">
        <f>IF($BD$68=1,#REF!,IF($BD$68=2,#REF!,IF($BD$68=3,BS116,IF($BD$68=4,BS139,IF($BD$68=5,BS162,IF($BD$68=6,BS185,IF($BD$68=7,BS208,"")))))))</f>
        <v>#REF!</v>
      </c>
      <c r="BT87" s="81" t="e">
        <f>IF($BD$68=1,#REF!,IF($BD$68=2,#REF!,IF($BD$68=3,BT116,IF($BD$68=4,BT139,IF($BD$68=5,BT162,IF($BD$68=6,BT185,IF($BD$68=7,BT208,"")))))))</f>
        <v>#REF!</v>
      </c>
      <c r="BU87" s="81" t="e">
        <f>IF($BD$68=1,#REF!,IF($BD$68=2,#REF!,IF($BD$68=3,BU116,IF($BD$68=4,BU139,IF($BD$68=5,BU162,IF($BD$68=6,BU185,IF($BD$68=7,BU208,"")))))))</f>
        <v>#REF!</v>
      </c>
      <c r="BV87" s="81" t="e">
        <f>IF($BD$68=1,#REF!,IF($BD$68=2,#REF!,IF($BD$68=3,BV116,IF($BD$68=4,BV139,IF($BD$68=5,BV162,IF($BD$68=6,BV185,IF($BD$68=7,BV208,"")))))))</f>
        <v>#REF!</v>
      </c>
      <c r="BW87" s="81" t="e">
        <f>IF($BD$68=1,#REF!,IF($BD$68=2,#REF!,IF($BD$68=3,BW116,IF($BD$68=4,BW139,IF($BD$68=5,BW162,IF($BD$68=6,BW185,IF($BD$68=7,BW208,"")))))))</f>
        <v>#REF!</v>
      </c>
      <c r="BX87" s="81" t="e">
        <f>IF($BD$68=1,#REF!,IF($BD$68=2,#REF!,IF($BD$68=3,BX116,IF($BD$68=4,BX139,IF($BD$68=5,BX162,IF($BD$68=6,BX185,IF($BD$68=7,BX208,"")))))))</f>
        <v>#REF!</v>
      </c>
      <c r="BY87" s="81" t="e">
        <f>IF($BD$68=1,#REF!,IF($BD$68=2,#REF!,IF($BD$68=3,BY116,IF($BD$68=4,BY139,IF($BD$68=5,BY162,IF($BD$68=6,BY185,IF($BD$68=7,BY208,"")))))))</f>
        <v>#REF!</v>
      </c>
      <c r="CB87" s="49"/>
      <c r="CC87" s="50"/>
      <c r="CD87" s="50"/>
      <c r="CE87" s="50"/>
      <c r="CF87" s="51"/>
      <c r="CG87" s="9"/>
      <c r="CH87" s="48" t="s">
        <v>429</v>
      </c>
      <c r="CI87" s="16">
        <v>2</v>
      </c>
      <c r="CJ87" s="16">
        <v>10</v>
      </c>
      <c r="CK87" s="16">
        <v>18</v>
      </c>
    </row>
    <row r="88" spans="31:89" ht="15" customHeight="1" x14ac:dyDescent="0.2">
      <c r="AE88" s="21"/>
      <c r="AF88" s="7" t="s">
        <v>357</v>
      </c>
      <c r="AG88" s="8"/>
      <c r="AH88" s="8"/>
      <c r="AI88" s="8"/>
      <c r="AJ88" s="8"/>
      <c r="AK88" s="8"/>
      <c r="AL88" s="8"/>
      <c r="AM88" s="8"/>
      <c r="AN88" s="8"/>
      <c r="AO88" s="9"/>
      <c r="AR88" s="7" t="s">
        <v>129</v>
      </c>
      <c r="AS88" s="8"/>
      <c r="AT88" s="8"/>
      <c r="AU88" s="8"/>
      <c r="AV88" s="8"/>
      <c r="AW88" s="8"/>
      <c r="AX88" s="8"/>
      <c r="AY88" s="8"/>
      <c r="AZ88" s="8"/>
      <c r="BA88" s="9"/>
      <c r="BB88" s="28"/>
      <c r="BC88" s="1">
        <v>1</v>
      </c>
      <c r="BD88" s="7" t="s">
        <v>469</v>
      </c>
      <c r="BE88" s="8"/>
      <c r="BF88" s="8"/>
      <c r="BG88" s="8"/>
      <c r="BH88" s="8"/>
      <c r="BI88" s="8"/>
      <c r="BJ88" s="8"/>
      <c r="BK88" s="8"/>
      <c r="BL88" s="9"/>
      <c r="BM88" s="16">
        <v>1</v>
      </c>
      <c r="BP88" s="49"/>
      <c r="BQ88" s="50"/>
      <c r="BR88" s="52" t="e">
        <f>IF($BD$68=1,#REF!,IF($BD$68=2,#REF!,IF($BD$68=3,BR117,IF($BD$68=4,BR140,IF($BD$68=5,BR163,IF($BD$68=6,BR186,IF($BD$68=7,BR209,"")))))))</f>
        <v>#REF!</v>
      </c>
      <c r="BS88" s="81" t="e">
        <f>IF($BD$68=1,#REF!,IF($BD$68=2,#REF!,IF($BD$68=3,BS117,IF($BD$68=4,BS140,IF($BD$68=5,BS163,IF($BD$68=6,BS186,IF($BD$68=7,BS209,"")))))))</f>
        <v>#REF!</v>
      </c>
      <c r="BT88" s="81" t="e">
        <f>IF($BD$68=1,#REF!,IF($BD$68=2,#REF!,IF($BD$68=3,BT117,IF($BD$68=4,BT140,IF($BD$68=5,BT163,IF($BD$68=6,BT186,IF($BD$68=7,BT209,"")))))))</f>
        <v>#REF!</v>
      </c>
      <c r="BU88" s="81" t="e">
        <f>IF($BD$68=1,#REF!,IF($BD$68=2,#REF!,IF($BD$68=3,BU117,IF($BD$68=4,BU140,IF($BD$68=5,BU163,IF($BD$68=6,BU186,IF($BD$68=7,BU209,"")))))))</f>
        <v>#REF!</v>
      </c>
      <c r="BV88" s="81" t="e">
        <f>IF($BD$68=1,#REF!,IF($BD$68=2,#REF!,IF($BD$68=3,BV117,IF($BD$68=4,BV140,IF($BD$68=5,BV163,IF($BD$68=6,BV186,IF($BD$68=7,BV209,"")))))))</f>
        <v>#REF!</v>
      </c>
      <c r="BW88" s="81" t="e">
        <f>IF($BD$68=1,#REF!,IF($BD$68=2,#REF!,IF($BD$68=3,BW117,IF($BD$68=4,BW140,IF($BD$68=5,BW163,IF($BD$68=6,BW186,IF($BD$68=7,BW209,"")))))))</f>
        <v>#REF!</v>
      </c>
      <c r="BX88" s="81" t="e">
        <f>IF($BD$68=1,#REF!,IF($BD$68=2,#REF!,IF($BD$68=3,BX117,IF($BD$68=4,BX140,IF($BD$68=5,BX163,IF($BD$68=6,BX186,IF($BD$68=7,BX209,"")))))))</f>
        <v>#REF!</v>
      </c>
      <c r="BY88" s="81" t="e">
        <f>IF($BD$68=1,#REF!,IF($BD$68=2,#REF!,IF($BD$68=3,BY117,IF($BD$68=4,BY140,IF($BD$68=5,BY163,IF($BD$68=6,BY186,IF($BD$68=7,BY209,"")))))))</f>
        <v>#REF!</v>
      </c>
      <c r="CB88" s="49"/>
      <c r="CC88" s="50"/>
      <c r="CD88" s="50"/>
      <c r="CE88" s="50"/>
      <c r="CF88" s="51"/>
      <c r="CG88" s="9"/>
      <c r="CH88" s="48" t="s">
        <v>565</v>
      </c>
      <c r="CI88" s="16">
        <v>3</v>
      </c>
      <c r="CJ88" s="16">
        <v>0</v>
      </c>
      <c r="CK88" s="16">
        <v>0</v>
      </c>
    </row>
    <row r="89" spans="31:89" ht="15" customHeight="1" x14ac:dyDescent="0.2">
      <c r="AE89" s="63"/>
      <c r="AF89" s="7" t="s">
        <v>358</v>
      </c>
      <c r="AG89" s="8"/>
      <c r="AH89" s="8"/>
      <c r="AI89" s="8"/>
      <c r="AJ89" s="8"/>
      <c r="AK89" s="8"/>
      <c r="AL89" s="8"/>
      <c r="AM89" s="8"/>
      <c r="AN89" s="8"/>
      <c r="AO89" s="9"/>
      <c r="AR89" s="7" t="s">
        <v>130</v>
      </c>
      <c r="AS89" s="8"/>
      <c r="AT89" s="8"/>
      <c r="AU89" s="8"/>
      <c r="AV89" s="8"/>
      <c r="AW89" s="8"/>
      <c r="AX89" s="8"/>
      <c r="AY89" s="8"/>
      <c r="AZ89" s="8"/>
      <c r="BA89" s="9"/>
      <c r="BB89" s="28"/>
      <c r="BC89" s="1">
        <v>2</v>
      </c>
      <c r="BD89" s="7" t="s">
        <v>470</v>
      </c>
      <c r="BE89" s="8"/>
      <c r="BF89" s="8"/>
      <c r="BG89" s="8"/>
      <c r="BH89" s="8"/>
      <c r="BI89" s="8"/>
      <c r="BJ89" s="8"/>
      <c r="BK89" s="8"/>
      <c r="BL89" s="9"/>
      <c r="BM89" s="16">
        <v>2</v>
      </c>
      <c r="BP89" s="49"/>
      <c r="BQ89" s="50"/>
      <c r="BR89" s="52" t="e">
        <f>IF($BD$68=1,#REF!,IF($BD$68=2,#REF!,IF($BD$68=3,BR118,IF($BD$68=4,BR141,IF($BD$68=5,BR164,IF($BD$68=6,BR187,IF($BD$68=7,BR210,"")))))))</f>
        <v>#REF!</v>
      </c>
      <c r="BS89" s="81" t="e">
        <f>IF($BD$68=1,#REF!,IF($BD$68=2,#REF!,IF($BD$68=3,BS118,IF($BD$68=4,BS141,IF($BD$68=5,BS164,IF($BD$68=6,BS187,IF($BD$68=7,BS210,"")))))))</f>
        <v>#REF!</v>
      </c>
      <c r="BT89" s="81" t="e">
        <f>IF($BD$68=1,#REF!,IF($BD$68=2,#REF!,IF($BD$68=3,BT118,IF($BD$68=4,BT141,IF($BD$68=5,BT164,IF($BD$68=6,BT187,IF($BD$68=7,BT210,"")))))))</f>
        <v>#REF!</v>
      </c>
      <c r="BU89" s="81" t="e">
        <f>IF($BD$68=1,#REF!,IF($BD$68=2,#REF!,IF($BD$68=3,BU118,IF($BD$68=4,BU141,IF($BD$68=5,BU164,IF($BD$68=6,BU187,IF($BD$68=7,BU210,"")))))))</f>
        <v>#REF!</v>
      </c>
      <c r="BV89" s="81" t="e">
        <f>IF($BD$68=1,#REF!,IF($BD$68=2,#REF!,IF($BD$68=3,BV118,IF($BD$68=4,BV141,IF($BD$68=5,BV164,IF($BD$68=6,BV187,IF($BD$68=7,BV210,"")))))))</f>
        <v>#REF!</v>
      </c>
      <c r="BW89" s="81" t="e">
        <f>IF($BD$68=1,#REF!,IF($BD$68=2,#REF!,IF($BD$68=3,BW118,IF($BD$68=4,BW141,IF($BD$68=5,BW164,IF($BD$68=6,BW187,IF($BD$68=7,BW210,"")))))))</f>
        <v>#REF!</v>
      </c>
      <c r="BX89" s="81" t="e">
        <f>IF($BD$68=1,#REF!,IF($BD$68=2,#REF!,IF($BD$68=3,BX118,IF($BD$68=4,BX141,IF($BD$68=5,BX164,IF($BD$68=6,BX187,IF($BD$68=7,BX210,"")))))))</f>
        <v>#REF!</v>
      </c>
      <c r="BY89" s="81" t="e">
        <f>IF($BD$68=1,#REF!,IF($BD$68=2,#REF!,IF($BD$68=3,BY118,IF($BD$68=4,BY141,IF($BD$68=5,BY164,IF($BD$68=6,BY187,IF($BD$68=7,BY210,"")))))))</f>
        <v>#REF!</v>
      </c>
    </row>
    <row r="90" spans="31:89" ht="15" customHeight="1" x14ac:dyDescent="0.2">
      <c r="AE90" s="63"/>
      <c r="AF90" s="7" t="s">
        <v>359</v>
      </c>
      <c r="AG90" s="8"/>
      <c r="AH90" s="8"/>
      <c r="AI90" s="8"/>
      <c r="AJ90" s="8"/>
      <c r="AK90" s="8"/>
      <c r="AL90" s="8"/>
      <c r="AM90" s="8"/>
      <c r="AN90" s="8"/>
      <c r="AO90" s="9"/>
      <c r="AR90" s="7" t="s">
        <v>132</v>
      </c>
      <c r="AS90" s="8"/>
      <c r="AT90" s="8"/>
      <c r="AU90" s="8"/>
      <c r="AV90" s="8"/>
      <c r="AW90" s="8"/>
      <c r="AX90" s="8"/>
      <c r="AY90" s="8"/>
      <c r="AZ90" s="8"/>
      <c r="BA90" s="9"/>
      <c r="BB90" s="28"/>
      <c r="BD90" s="219">
        <f>VLOOKUP(V24,BD88:BM89,10,FALSE)</f>
        <v>1</v>
      </c>
      <c r="BE90" s="220"/>
      <c r="BF90" s="220"/>
      <c r="BG90" s="220"/>
      <c r="BH90" s="220"/>
      <c r="BI90" s="220"/>
      <c r="BJ90" s="220"/>
      <c r="BK90" s="220"/>
      <c r="BL90" s="220"/>
      <c r="BM90" s="221"/>
      <c r="BP90" s="49"/>
      <c r="BQ90" s="50"/>
      <c r="BR90" s="52" t="e">
        <f>IF($BD$68=1,#REF!,IF($BD$68=2,#REF!,IF($BD$68=3,BR119,IF($BD$68=4,BR142,IF($BD$68=5,BR165,IF($BD$68=6,BR188,IF($BD$68=7,BR211,"")))))))</f>
        <v>#REF!</v>
      </c>
      <c r="BS90" s="81" t="e">
        <f>IF($BD$68=1,#REF!,IF($BD$68=2,#REF!,IF($BD$68=3,BS119,IF($BD$68=4,BS142,IF($BD$68=5,BS165,IF($BD$68=6,BS188,IF($BD$68=7,BS211,"")))))))</f>
        <v>#REF!</v>
      </c>
      <c r="BT90" s="81" t="e">
        <f>IF($BD$68=1,#REF!,IF($BD$68=2,#REF!,IF($BD$68=3,BT119,IF($BD$68=4,BT142,IF($BD$68=5,BT165,IF($BD$68=6,BT188,IF($BD$68=7,BT211,"")))))))</f>
        <v>#REF!</v>
      </c>
      <c r="BU90" s="81" t="e">
        <f>IF($BD$68=1,#REF!,IF($BD$68=2,#REF!,IF($BD$68=3,BU119,IF($BD$68=4,BU142,IF($BD$68=5,BU165,IF($BD$68=6,BU188,IF($BD$68=7,BU211,"")))))))</f>
        <v>#REF!</v>
      </c>
      <c r="BV90" s="81" t="e">
        <f>IF($BD$68=1,#REF!,IF($BD$68=2,#REF!,IF($BD$68=3,BV119,IF($BD$68=4,BV142,IF($BD$68=5,BV165,IF($BD$68=6,BV188,IF($BD$68=7,BV211,"")))))))</f>
        <v>#REF!</v>
      </c>
      <c r="BW90" s="81" t="e">
        <f>IF($BD$68=1,#REF!,IF($BD$68=2,#REF!,IF($BD$68=3,BW119,IF($BD$68=4,BW142,IF($BD$68=5,BW165,IF($BD$68=6,BW188,IF($BD$68=7,BW211,"")))))))</f>
        <v>#REF!</v>
      </c>
      <c r="BX90" s="81" t="e">
        <f>IF($BD$68=1,#REF!,IF($BD$68=2,#REF!,IF($BD$68=3,BX119,IF($BD$68=4,BX142,IF($BD$68=5,BX165,IF($BD$68=6,BX188,IF($BD$68=7,BX211,"")))))))</f>
        <v>#REF!</v>
      </c>
      <c r="BY90" s="81" t="e">
        <f>IF($BD$68=1,#REF!,IF($BD$68=2,#REF!,IF($BD$68=3,BY119,IF($BD$68=4,BY142,IF($BD$68=5,BY165,IF($BD$68=6,BY188,IF($BD$68=7,BY211,"")))))))</f>
        <v>#REF!</v>
      </c>
      <c r="CB90" s="227" t="s">
        <v>497</v>
      </c>
      <c r="CC90" s="228"/>
      <c r="CD90" s="228"/>
      <c r="CE90" s="228"/>
      <c r="CF90" s="228"/>
      <c r="CG90" s="228"/>
      <c r="CH90" s="228"/>
      <c r="CI90" s="228"/>
      <c r="CJ90" s="228"/>
      <c r="CK90" s="229"/>
    </row>
    <row r="91" spans="31:89" ht="15" customHeight="1" x14ac:dyDescent="0.2">
      <c r="AE91" s="63"/>
      <c r="AF91" s="4" t="s">
        <v>80</v>
      </c>
      <c r="AG91" s="5"/>
      <c r="AH91" s="5"/>
      <c r="AI91" s="5"/>
      <c r="AJ91" s="5"/>
      <c r="AK91" s="5"/>
      <c r="AL91" s="5"/>
      <c r="AM91" s="5"/>
      <c r="AN91" s="5"/>
      <c r="AO91" s="6"/>
      <c r="AR91" s="7" t="s">
        <v>133</v>
      </c>
      <c r="AS91" s="8"/>
      <c r="AT91" s="8"/>
      <c r="AU91" s="8"/>
      <c r="AV91" s="8"/>
      <c r="AW91" s="8"/>
      <c r="AX91" s="8"/>
      <c r="AY91" s="8"/>
      <c r="AZ91" s="8"/>
      <c r="BA91" s="9"/>
      <c r="BB91" s="21"/>
      <c r="BC91" s="63"/>
      <c r="BD91" s="15"/>
      <c r="BP91" s="49"/>
      <c r="BQ91" s="50"/>
      <c r="BR91" s="52" t="e">
        <f>IF($BD$68=1,#REF!,IF($BD$68=2,#REF!,IF($BD$68=3,BR120,IF($BD$68=4,BR143,IF($BD$68=5,BR166,IF($BD$68=6,BR189,IF($BD$68=7,BR212,"")))))))</f>
        <v>#REF!</v>
      </c>
      <c r="BS91" s="81" t="e">
        <f>IF($BD$68=1,#REF!,IF($BD$68=2,#REF!,IF($BD$68=3,BS120,IF($BD$68=4,BS143,IF($BD$68=5,BS166,IF($BD$68=6,BS189,IF($BD$68=7,BS212,"")))))))</f>
        <v>#REF!</v>
      </c>
      <c r="BT91" s="81" t="e">
        <f>IF($BD$68=1,#REF!,IF($BD$68=2,#REF!,IF($BD$68=3,BT120,IF($BD$68=4,BT143,IF($BD$68=5,BT166,IF($BD$68=6,BT189,IF($BD$68=7,BT212,"")))))))</f>
        <v>#REF!</v>
      </c>
      <c r="BU91" s="81" t="e">
        <f>IF($BD$68=1,#REF!,IF($BD$68=2,#REF!,IF($BD$68=3,BU120,IF($BD$68=4,BU143,IF($BD$68=5,BU166,IF($BD$68=6,BU189,IF($BD$68=7,BU212,"")))))))</f>
        <v>#REF!</v>
      </c>
      <c r="BV91" s="81" t="e">
        <f>IF($BD$68=1,#REF!,IF($BD$68=2,#REF!,IF($BD$68=3,BV120,IF($BD$68=4,BV143,IF($BD$68=5,BV166,IF($BD$68=6,BV189,IF($BD$68=7,BV212,"")))))))</f>
        <v>#REF!</v>
      </c>
      <c r="BW91" s="81" t="e">
        <f>IF($BD$68=1,#REF!,IF($BD$68=2,#REF!,IF($BD$68=3,BW120,IF($BD$68=4,BW143,IF($BD$68=5,BW166,IF($BD$68=6,BW189,IF($BD$68=7,BW212,"")))))))</f>
        <v>#REF!</v>
      </c>
      <c r="BX91" s="81" t="e">
        <f>IF($BD$68=1,#REF!,IF($BD$68=2,#REF!,IF($BD$68=3,BX120,IF($BD$68=4,BX143,IF($BD$68=5,BX166,IF($BD$68=6,BX189,IF($BD$68=7,BX212,"")))))))</f>
        <v>#REF!</v>
      </c>
      <c r="BY91" s="81" t="e">
        <f>IF($BD$68=1,#REF!,IF($BD$68=2,#REF!,IF($BD$68=3,BY120,IF($BD$68=4,BY143,IF($BD$68=5,BY166,IF($BD$68=6,BY189,IF($BD$68=7,BY212,"")))))))</f>
        <v>#REF!</v>
      </c>
      <c r="CB91" s="219" t="s">
        <v>486</v>
      </c>
      <c r="CC91" s="220"/>
      <c r="CD91" s="220"/>
      <c r="CE91" s="220"/>
      <c r="CF91" s="220"/>
      <c r="CG91" s="220"/>
      <c r="CH91" s="220"/>
      <c r="CI91" s="220"/>
      <c r="CJ91" s="220"/>
      <c r="CK91" s="221"/>
    </row>
    <row r="92" spans="31:89" ht="15" customHeight="1" x14ac:dyDescent="0.2">
      <c r="AE92" s="63"/>
      <c r="AF92" s="7" t="s">
        <v>360</v>
      </c>
      <c r="AG92" s="8"/>
      <c r="AH92" s="8"/>
      <c r="AI92" s="8"/>
      <c r="AJ92" s="8"/>
      <c r="AK92" s="8"/>
      <c r="AL92" s="8"/>
      <c r="AM92" s="8"/>
      <c r="AN92" s="8"/>
      <c r="AO92" s="9"/>
      <c r="AR92" s="7" t="s">
        <v>134</v>
      </c>
      <c r="AS92" s="8"/>
      <c r="AT92" s="8"/>
      <c r="AU92" s="8"/>
      <c r="AV92" s="8"/>
      <c r="AW92" s="8"/>
      <c r="AX92" s="8"/>
      <c r="AY92" s="8"/>
      <c r="AZ92" s="8"/>
      <c r="BA92" s="9"/>
      <c r="BC92" s="13"/>
      <c r="BD92" s="227" t="s">
        <v>403</v>
      </c>
      <c r="BE92" s="228"/>
      <c r="BF92" s="228"/>
      <c r="BG92" s="228"/>
      <c r="BH92" s="228"/>
      <c r="BI92" s="228"/>
      <c r="BJ92" s="228"/>
      <c r="BK92" s="228"/>
      <c r="BL92" s="228"/>
      <c r="BM92" s="229"/>
      <c r="BP92" s="49"/>
      <c r="BQ92" s="50"/>
      <c r="BR92" s="119" t="e">
        <f>#REF!</f>
        <v>#REF!</v>
      </c>
      <c r="BS92" s="34" t="e">
        <f>#REF!</f>
        <v>#REF!</v>
      </c>
      <c r="BT92" s="34" t="e">
        <f>#REF!</f>
        <v>#REF!</v>
      </c>
      <c r="BU92" s="34" t="e">
        <f>#REF!</f>
        <v>#REF!</v>
      </c>
      <c r="BV92" s="34" t="e">
        <f>#REF!</f>
        <v>#REF!</v>
      </c>
      <c r="BW92" s="34" t="e">
        <f>#REF!</f>
        <v>#REF!</v>
      </c>
      <c r="BX92" s="34" t="e">
        <f>#REF!</f>
        <v>#REF!</v>
      </c>
      <c r="BY92" s="34" t="e">
        <f>#REF!</f>
        <v>#REF!</v>
      </c>
      <c r="CB92" s="7"/>
      <c r="CC92" s="8"/>
      <c r="CD92" s="8"/>
      <c r="CE92" s="8"/>
      <c r="CF92" s="52" t="s">
        <v>527</v>
      </c>
      <c r="CG92" s="266">
        <f>BP63*BD58*DF46</f>
        <v>0</v>
      </c>
      <c r="CH92" s="266"/>
      <c r="CI92" s="266"/>
      <c r="CJ92" s="8" t="s">
        <v>23</v>
      </c>
      <c r="CK92" s="9"/>
    </row>
    <row r="93" spans="31:89" ht="15" customHeight="1" x14ac:dyDescent="0.2">
      <c r="AE93" s="13"/>
      <c r="AF93" s="4" t="s">
        <v>81</v>
      </c>
      <c r="AG93" s="5"/>
      <c r="AH93" s="5"/>
      <c r="AI93" s="5"/>
      <c r="AJ93" s="5"/>
      <c r="AK93" s="5"/>
      <c r="AL93" s="5"/>
      <c r="AM93" s="5"/>
      <c r="AN93" s="5"/>
      <c r="AO93" s="6"/>
      <c r="AR93" s="7" t="s">
        <v>136</v>
      </c>
      <c r="AS93" s="8"/>
      <c r="AT93" s="8"/>
      <c r="AU93" s="8"/>
      <c r="AV93" s="8"/>
      <c r="AW93" s="8"/>
      <c r="AX93" s="8"/>
      <c r="AY93" s="8"/>
      <c r="AZ93" s="8"/>
      <c r="BA93" s="9"/>
      <c r="BC93" s="1">
        <v>2</v>
      </c>
      <c r="BD93" s="7" t="s">
        <v>404</v>
      </c>
      <c r="BE93" s="8"/>
      <c r="BF93" s="8"/>
      <c r="BG93" s="8"/>
      <c r="BH93" s="8"/>
      <c r="BI93" s="8"/>
      <c r="BJ93" s="8"/>
      <c r="BK93" s="8"/>
      <c r="BL93" s="8"/>
      <c r="BM93" s="9"/>
      <c r="BP93" s="49"/>
      <c r="BQ93" s="50"/>
      <c r="BR93" s="119" t="e">
        <f>#REF!</f>
        <v>#REF!</v>
      </c>
      <c r="BS93" s="34" t="e">
        <f>#REF!</f>
        <v>#REF!</v>
      </c>
      <c r="BT93" s="34" t="e">
        <f>#REF!</f>
        <v>#REF!</v>
      </c>
      <c r="BU93" s="34" t="e">
        <f>#REF!</f>
        <v>#REF!</v>
      </c>
      <c r="BV93" s="34" t="e">
        <f>#REF!</f>
        <v>#REF!</v>
      </c>
      <c r="BW93" s="34" t="e">
        <f>#REF!</f>
        <v>#REF!</v>
      </c>
      <c r="BX93" s="34" t="e">
        <f>#REF!</f>
        <v>#REF!</v>
      </c>
      <c r="BY93" s="34" t="e">
        <f>#REF!</f>
        <v>#REF!</v>
      </c>
      <c r="CB93" s="7"/>
      <c r="CC93" s="8"/>
      <c r="CD93" s="8"/>
      <c r="CE93" s="8"/>
      <c r="CF93" s="52" t="s">
        <v>528</v>
      </c>
      <c r="CG93" s="253">
        <f>MAX(0,DF50-CG92)</f>
        <v>0</v>
      </c>
      <c r="CH93" s="253"/>
      <c r="CI93" s="253"/>
      <c r="CJ93" s="8" t="s">
        <v>23</v>
      </c>
      <c r="CK93" s="9"/>
    </row>
    <row r="94" spans="31:89" ht="15" customHeight="1" x14ac:dyDescent="0.2">
      <c r="AF94" s="4" t="s">
        <v>82</v>
      </c>
      <c r="AG94" s="5"/>
      <c r="AH94" s="5"/>
      <c r="AI94" s="5"/>
      <c r="AJ94" s="5"/>
      <c r="AK94" s="5"/>
      <c r="AL94" s="5"/>
      <c r="AM94" s="5"/>
      <c r="AN94" s="5"/>
      <c r="AO94" s="6"/>
      <c r="AR94" s="7" t="s">
        <v>137</v>
      </c>
      <c r="AS94" s="8"/>
      <c r="AT94" s="8"/>
      <c r="AU94" s="8"/>
      <c r="AV94" s="8"/>
      <c r="AW94" s="8"/>
      <c r="AX94" s="8"/>
      <c r="AY94" s="8"/>
      <c r="AZ94" s="8"/>
      <c r="BA94" s="9"/>
      <c r="BC94" s="1">
        <v>1</v>
      </c>
      <c r="BD94" s="7" t="str">
        <f>IF(V25&lt;40,"","Gering - z.B. selbstgenutztes Eigentum (mind. 40 m² pro Person)")</f>
        <v/>
      </c>
      <c r="BE94" s="8"/>
      <c r="BF94" s="8"/>
      <c r="BG94" s="8"/>
      <c r="BH94" s="8"/>
      <c r="BI94" s="8"/>
      <c r="BJ94" s="8"/>
      <c r="BK94" s="8"/>
      <c r="BL94" s="8"/>
      <c r="BM94" s="9"/>
      <c r="BP94" s="74"/>
      <c r="BQ94" s="74"/>
      <c r="BR94" s="74"/>
      <c r="BS94" s="74"/>
      <c r="BT94" s="74"/>
      <c r="BU94" s="74"/>
      <c r="BV94" s="74"/>
      <c r="BW94" s="74"/>
      <c r="BX94" s="74"/>
      <c r="BY94" s="74"/>
      <c r="CB94" s="7"/>
      <c r="CC94" s="8"/>
      <c r="CD94" s="8"/>
      <c r="CE94" s="8"/>
      <c r="CF94" s="52" t="s">
        <v>529</v>
      </c>
      <c r="CG94" s="252">
        <f>MAX(DF50,2*DF54)</f>
        <v>19.920000000000002</v>
      </c>
      <c r="CH94" s="252"/>
      <c r="CI94" s="252"/>
      <c r="CJ94" s="8" t="s">
        <v>23</v>
      </c>
      <c r="CK94" s="9"/>
    </row>
    <row r="95" spans="31:89" ht="15" customHeight="1" x14ac:dyDescent="0.2">
      <c r="AF95" s="4" t="s">
        <v>83</v>
      </c>
      <c r="AG95" s="5"/>
      <c r="AH95" s="5"/>
      <c r="AI95" s="5"/>
      <c r="AJ95" s="5"/>
      <c r="AK95" s="5"/>
      <c r="AL95" s="5"/>
      <c r="AM95" s="5"/>
      <c r="AN95" s="5"/>
      <c r="AO95" s="6"/>
      <c r="AR95" s="7" t="s">
        <v>138</v>
      </c>
      <c r="AS95" s="8"/>
      <c r="AT95" s="8"/>
      <c r="AU95" s="8"/>
      <c r="AV95" s="8"/>
      <c r="AW95" s="8"/>
      <c r="AX95" s="8"/>
      <c r="AY95" s="8"/>
      <c r="AZ95" s="8"/>
      <c r="BA95" s="9"/>
      <c r="BD95" s="219">
        <f>IF(R26=BD93,2,IF(R26="Gering - z.B. selbstgenutztes Eigentum (mind. 40 m² pro Person)",1,2))</f>
        <v>2</v>
      </c>
      <c r="BE95" s="220"/>
      <c r="BF95" s="220"/>
      <c r="BG95" s="220"/>
      <c r="BH95" s="220"/>
      <c r="BI95" s="220"/>
      <c r="BJ95" s="220"/>
      <c r="BK95" s="220"/>
      <c r="BL95" s="220"/>
      <c r="BM95" s="221"/>
      <c r="BP95" s="227" t="s">
        <v>570</v>
      </c>
      <c r="BQ95" s="228"/>
      <c r="BR95" s="228"/>
      <c r="BS95" s="228"/>
      <c r="BT95" s="228"/>
      <c r="BU95" s="228"/>
      <c r="BV95" s="228"/>
      <c r="BW95" s="228"/>
      <c r="BX95" s="228"/>
      <c r="BY95" s="229"/>
    </row>
    <row r="96" spans="31:89" ht="15" customHeight="1" x14ac:dyDescent="0.2">
      <c r="AF96" s="4" t="s">
        <v>84</v>
      </c>
      <c r="AG96" s="5"/>
      <c r="AH96" s="5"/>
      <c r="AI96" s="5"/>
      <c r="AJ96" s="5"/>
      <c r="AK96" s="5"/>
      <c r="AL96" s="5"/>
      <c r="AM96" s="5"/>
      <c r="AN96" s="5"/>
      <c r="AO96" s="6"/>
      <c r="AR96" s="7" t="s">
        <v>140</v>
      </c>
      <c r="AS96" s="8"/>
      <c r="AT96" s="8"/>
      <c r="AU96" s="8"/>
      <c r="AV96" s="8"/>
      <c r="AW96" s="8"/>
      <c r="AX96" s="8"/>
      <c r="AY96" s="8"/>
      <c r="AZ96" s="8"/>
      <c r="BA96" s="9"/>
      <c r="BP96" s="7"/>
      <c r="BQ96" s="8"/>
      <c r="BR96" s="9" t="s">
        <v>569</v>
      </c>
      <c r="BS96" s="91">
        <v>2</v>
      </c>
      <c r="BT96" s="1">
        <v>3</v>
      </c>
      <c r="BU96" s="91">
        <v>4</v>
      </c>
      <c r="BV96" s="91">
        <v>5</v>
      </c>
      <c r="BW96" s="1">
        <v>6</v>
      </c>
      <c r="BX96" s="91">
        <v>7</v>
      </c>
      <c r="BY96" s="91">
        <v>8</v>
      </c>
      <c r="CB96" s="227" t="s">
        <v>498</v>
      </c>
      <c r="CC96" s="228"/>
      <c r="CD96" s="228"/>
      <c r="CE96" s="228"/>
      <c r="CF96" s="228"/>
      <c r="CG96" s="228"/>
      <c r="CH96" s="228"/>
      <c r="CI96" s="228"/>
      <c r="CJ96" s="228"/>
      <c r="CK96" s="229"/>
    </row>
    <row r="97" spans="32:96" ht="15" customHeight="1" x14ac:dyDescent="0.2">
      <c r="AF97" s="7" t="s">
        <v>361</v>
      </c>
      <c r="AG97" s="8"/>
      <c r="AH97" s="8"/>
      <c r="AI97" s="8"/>
      <c r="AJ97" s="8"/>
      <c r="AK97" s="8"/>
      <c r="AL97" s="8"/>
      <c r="AM97" s="8"/>
      <c r="AN97" s="8"/>
      <c r="AO97" s="9"/>
      <c r="AR97" s="7" t="s">
        <v>142</v>
      </c>
      <c r="AS97" s="8"/>
      <c r="AT97" s="8"/>
      <c r="AU97" s="8"/>
      <c r="AV97" s="8"/>
      <c r="AW97" s="8"/>
      <c r="AX97" s="8"/>
      <c r="AY97" s="8"/>
      <c r="AZ97" s="8"/>
      <c r="BA97" s="9"/>
      <c r="BC97" s="13"/>
      <c r="BD97" s="227" t="s">
        <v>554</v>
      </c>
      <c r="BE97" s="228"/>
      <c r="BF97" s="228"/>
      <c r="BG97" s="228"/>
      <c r="BH97" s="228"/>
      <c r="BI97" s="228"/>
      <c r="BJ97" s="228"/>
      <c r="BK97" s="228"/>
      <c r="BL97" s="228"/>
      <c r="BM97" s="229"/>
      <c r="BP97" s="7"/>
      <c r="BQ97" s="8"/>
      <c r="BR97" s="73" t="s">
        <v>571</v>
      </c>
      <c r="BS97" s="17">
        <v>3</v>
      </c>
      <c r="BT97" s="17">
        <v>3.4</v>
      </c>
      <c r="BU97" s="17">
        <v>3.7</v>
      </c>
      <c r="BV97" s="17">
        <v>4</v>
      </c>
      <c r="BW97" s="17">
        <v>4.4000000000000004</v>
      </c>
      <c r="BX97" s="17">
        <v>4.7</v>
      </c>
      <c r="BY97" s="17">
        <v>5</v>
      </c>
      <c r="CB97" s="219" t="s">
        <v>485</v>
      </c>
      <c r="CC97" s="220"/>
      <c r="CD97" s="220"/>
      <c r="CE97" s="220"/>
      <c r="CF97" s="220"/>
      <c r="CG97" s="220"/>
      <c r="CH97" s="220"/>
      <c r="CI97" s="220"/>
      <c r="CJ97" s="220"/>
      <c r="CK97" s="221"/>
    </row>
    <row r="98" spans="32:96" ht="15" customHeight="1" x14ac:dyDescent="0.2">
      <c r="AF98" s="4" t="s">
        <v>85</v>
      </c>
      <c r="AG98" s="5"/>
      <c r="AH98" s="5"/>
      <c r="AI98" s="5"/>
      <c r="AJ98" s="5"/>
      <c r="AK98" s="5"/>
      <c r="AL98" s="5"/>
      <c r="AM98" s="5"/>
      <c r="AN98" s="5"/>
      <c r="AO98" s="6"/>
      <c r="AR98" s="7" t="s">
        <v>143</v>
      </c>
      <c r="AS98" s="8"/>
      <c r="AT98" s="8"/>
      <c r="AU98" s="8"/>
      <c r="AV98" s="8"/>
      <c r="AW98" s="8"/>
      <c r="AX98" s="8"/>
      <c r="AY98" s="8"/>
      <c r="AZ98" s="8"/>
      <c r="BA98" s="9"/>
      <c r="BC98" s="1">
        <v>1</v>
      </c>
      <c r="BD98" s="7" t="str">
        <f>IF(V28,"DIN 18017-3","")</f>
        <v/>
      </c>
      <c r="BE98" s="8"/>
      <c r="BF98" s="8"/>
      <c r="BG98" s="8"/>
      <c r="BH98" s="8"/>
      <c r="BI98" s="8"/>
      <c r="BJ98" s="8"/>
      <c r="BK98" s="8"/>
      <c r="BL98" s="8"/>
      <c r="BM98" s="9"/>
      <c r="BP98" s="7"/>
      <c r="BQ98" s="8"/>
      <c r="BR98" s="73" t="s">
        <v>572</v>
      </c>
      <c r="BS98" s="17">
        <v>3.6</v>
      </c>
      <c r="BT98" s="17">
        <v>4.0999999999999996</v>
      </c>
      <c r="BU98" s="17">
        <v>4.5</v>
      </c>
      <c r="BV98" s="17">
        <v>5</v>
      </c>
      <c r="BW98" s="17">
        <v>5.4</v>
      </c>
      <c r="BX98" s="17">
        <v>5.8</v>
      </c>
      <c r="BY98" s="17">
        <v>6.2</v>
      </c>
      <c r="CB98" s="7"/>
      <c r="CC98" s="8"/>
      <c r="CD98" s="8"/>
      <c r="CE98" s="8"/>
      <c r="CF98" s="52" t="s">
        <v>530</v>
      </c>
      <c r="CG98" s="253">
        <f>BP55*BD58*DF46</f>
        <v>0</v>
      </c>
      <c r="CH98" s="253"/>
      <c r="CI98" s="253"/>
      <c r="CJ98" s="8" t="s">
        <v>23</v>
      </c>
      <c r="CK98" s="9"/>
      <c r="CM98" s="219" t="s">
        <v>627</v>
      </c>
      <c r="CN98" s="220"/>
      <c r="CO98" s="220"/>
      <c r="CP98" s="220"/>
      <c r="CQ98" s="220"/>
      <c r="CR98" s="221"/>
    </row>
    <row r="99" spans="32:96" ht="15" customHeight="1" x14ac:dyDescent="0.2">
      <c r="AF99" s="4" t="s">
        <v>86</v>
      </c>
      <c r="AG99" s="5"/>
      <c r="AH99" s="5"/>
      <c r="AI99" s="5"/>
      <c r="AJ99" s="5"/>
      <c r="AK99" s="5"/>
      <c r="AL99" s="5"/>
      <c r="AM99" s="5"/>
      <c r="AN99" s="5"/>
      <c r="AO99" s="6"/>
      <c r="AR99" s="7" t="s">
        <v>144</v>
      </c>
      <c r="AS99" s="8"/>
      <c r="AT99" s="8"/>
      <c r="AU99" s="8"/>
      <c r="AV99" s="8"/>
      <c r="AW99" s="8"/>
      <c r="AX99" s="8"/>
      <c r="AY99" s="8"/>
      <c r="AZ99" s="8"/>
      <c r="BA99" s="9"/>
      <c r="BC99" s="1">
        <v>2</v>
      </c>
      <c r="BD99" s="7" t="str">
        <f>IF(V28,"Freie Schachtlüftung","")</f>
        <v/>
      </c>
      <c r="BE99" s="8"/>
      <c r="BF99" s="8"/>
      <c r="BG99" s="8"/>
      <c r="BH99" s="8"/>
      <c r="BI99" s="8"/>
      <c r="BJ99" s="8"/>
      <c r="BK99" s="8"/>
      <c r="BL99" s="8"/>
      <c r="BM99" s="9"/>
      <c r="BP99" s="7"/>
      <c r="BQ99" s="8"/>
      <c r="BR99" s="73" t="s">
        <v>573</v>
      </c>
      <c r="BS99" s="17">
        <v>4.4000000000000004</v>
      </c>
      <c r="BT99" s="17">
        <v>5</v>
      </c>
      <c r="BU99" s="17">
        <v>5.6</v>
      </c>
      <c r="BV99" s="17">
        <v>6.2</v>
      </c>
      <c r="BW99" s="17">
        <v>6.8</v>
      </c>
      <c r="BX99" s="17">
        <v>7.4</v>
      </c>
      <c r="BY99" s="17">
        <v>7.8</v>
      </c>
      <c r="CB99" s="7"/>
      <c r="CC99" s="8"/>
      <c r="CD99" s="8"/>
      <c r="CE99" s="8"/>
      <c r="CF99" s="52" t="s">
        <v>528</v>
      </c>
      <c r="CG99" s="253">
        <f>MAX(((DF50-CG92)*POWER(BP58/BP66,0.5)),2*(DF54-CG98),0)</f>
        <v>19.920000000000002</v>
      </c>
      <c r="CH99" s="253"/>
      <c r="CI99" s="253"/>
      <c r="CJ99" s="8" t="s">
        <v>23</v>
      </c>
      <c r="CK99" s="9"/>
      <c r="CM99" s="262" t="s">
        <v>626</v>
      </c>
      <c r="CN99" s="367"/>
      <c r="CO99" s="240">
        <f>((DF50-CG92)*POWER(BP58/BP66,0.5))</f>
        <v>0</v>
      </c>
      <c r="CP99" s="242"/>
      <c r="CQ99" s="240">
        <f>2*(DF54-CG98)</f>
        <v>19.920000000000002</v>
      </c>
      <c r="CR99" s="242"/>
    </row>
    <row r="100" spans="32:96" ht="15" customHeight="1" x14ac:dyDescent="0.2">
      <c r="AF100" s="4" t="s">
        <v>87</v>
      </c>
      <c r="AG100" s="5"/>
      <c r="AH100" s="5"/>
      <c r="AI100" s="5"/>
      <c r="AJ100" s="5"/>
      <c r="AK100" s="5"/>
      <c r="AL100" s="5"/>
      <c r="AM100" s="5"/>
      <c r="AN100" s="5"/>
      <c r="AO100" s="6"/>
      <c r="AR100" s="7" t="s">
        <v>146</v>
      </c>
      <c r="AS100" s="8"/>
      <c r="AT100" s="8"/>
      <c r="AU100" s="8"/>
      <c r="AV100" s="8"/>
      <c r="AW100" s="8"/>
      <c r="AX100" s="8"/>
      <c r="AY100" s="8"/>
      <c r="AZ100" s="8"/>
      <c r="BA100" s="9"/>
      <c r="BD100" s="219">
        <f>IF(V29="Freie Schachtlüftung",2,1)</f>
        <v>1</v>
      </c>
      <c r="BE100" s="220"/>
      <c r="BF100" s="220"/>
      <c r="BG100" s="220"/>
      <c r="BH100" s="220"/>
      <c r="BI100" s="220"/>
      <c r="BJ100" s="220"/>
      <c r="BK100" s="220"/>
      <c r="BL100" s="220"/>
      <c r="BM100" s="221"/>
      <c r="BP100" s="7"/>
      <c r="BQ100" s="8"/>
      <c r="BR100" s="106" t="s">
        <v>674</v>
      </c>
      <c r="BS100" s="107">
        <v>2.8</v>
      </c>
      <c r="BT100" s="107">
        <v>3.37</v>
      </c>
      <c r="BU100" s="107">
        <v>3.94</v>
      </c>
      <c r="BV100" s="107">
        <v>4.43</v>
      </c>
      <c r="BW100" s="107">
        <v>4.83</v>
      </c>
      <c r="BX100" s="107">
        <v>5.23</v>
      </c>
      <c r="BY100" s="107">
        <v>5.52</v>
      </c>
      <c r="BZ100" s="30"/>
      <c r="CB100" s="7"/>
      <c r="CC100" s="8"/>
      <c r="CD100" s="8"/>
      <c r="CE100" s="8"/>
      <c r="CF100" s="52" t="s">
        <v>529</v>
      </c>
      <c r="CG100" s="252">
        <f>MAX(DF50,2*DF54)</f>
        <v>19.920000000000002</v>
      </c>
      <c r="CH100" s="252"/>
      <c r="CI100" s="252"/>
      <c r="CJ100" s="8" t="s">
        <v>23</v>
      </c>
      <c r="CK100" s="9"/>
      <c r="CM100" s="219" t="s">
        <v>629</v>
      </c>
      <c r="CN100" s="220"/>
      <c r="CO100" s="220"/>
      <c r="CP100" s="220"/>
      <c r="CQ100" s="220"/>
      <c r="CR100" s="221"/>
    </row>
    <row r="101" spans="32:96" ht="15" customHeight="1" x14ac:dyDescent="0.2">
      <c r="AF101" s="4" t="s">
        <v>88</v>
      </c>
      <c r="AG101" s="5"/>
      <c r="AH101" s="5"/>
      <c r="AI101" s="5"/>
      <c r="AJ101" s="5"/>
      <c r="AK101" s="5"/>
      <c r="AL101" s="5"/>
      <c r="AM101" s="5"/>
      <c r="AN101" s="5"/>
      <c r="AO101" s="6"/>
      <c r="AR101" s="7" t="s">
        <v>148</v>
      </c>
      <c r="AS101" s="8"/>
      <c r="AT101" s="8"/>
      <c r="AU101" s="8"/>
      <c r="AV101" s="8"/>
      <c r="AW101" s="8"/>
      <c r="AX101" s="8"/>
      <c r="AY101" s="8"/>
      <c r="AZ101" s="8"/>
      <c r="BA101" s="9"/>
      <c r="BP101" s="7"/>
      <c r="BQ101" s="8"/>
      <c r="BR101" s="106" t="s">
        <v>678</v>
      </c>
      <c r="BS101" s="107">
        <v>3.78</v>
      </c>
      <c r="BT101" s="107">
        <v>4.55</v>
      </c>
      <c r="BU101" s="107">
        <v>5.32</v>
      </c>
      <c r="BV101" s="107">
        <v>5.9</v>
      </c>
      <c r="BW101" s="107">
        <v>6.42</v>
      </c>
      <c r="BX101" s="107">
        <v>6.94</v>
      </c>
      <c r="BY101" s="107">
        <v>7.51</v>
      </c>
      <c r="BZ101" s="30"/>
    </row>
    <row r="102" spans="32:96" ht="15" customHeight="1" x14ac:dyDescent="0.2">
      <c r="AF102" s="4" t="s">
        <v>89</v>
      </c>
      <c r="AG102" s="5"/>
      <c r="AH102" s="5"/>
      <c r="AI102" s="5"/>
      <c r="AJ102" s="5"/>
      <c r="AK102" s="5"/>
      <c r="AL102" s="5"/>
      <c r="AM102" s="5"/>
      <c r="AN102" s="5"/>
      <c r="AO102" s="6"/>
      <c r="AR102" s="7" t="s">
        <v>150</v>
      </c>
      <c r="AS102" s="8"/>
      <c r="AT102" s="8"/>
      <c r="AU102" s="8"/>
      <c r="AV102" s="8"/>
      <c r="AW102" s="8"/>
      <c r="AX102" s="8"/>
      <c r="AY102" s="8"/>
      <c r="AZ102" s="8"/>
      <c r="BA102" s="9"/>
      <c r="BP102" s="7"/>
      <c r="BQ102" s="8"/>
      <c r="BR102" s="106" t="s">
        <v>675</v>
      </c>
      <c r="BS102" s="107">
        <v>4.92</v>
      </c>
      <c r="BT102" s="107">
        <v>5.94</v>
      </c>
      <c r="BU102" s="107">
        <v>6.96</v>
      </c>
      <c r="BV102" s="107">
        <v>7.82</v>
      </c>
      <c r="BW102" s="107">
        <v>8.56</v>
      </c>
      <c r="BX102" s="107">
        <v>9.3000000000000007</v>
      </c>
      <c r="BY102" s="107">
        <v>10.130000000000001</v>
      </c>
      <c r="CB102" s="227" t="s">
        <v>499</v>
      </c>
      <c r="CC102" s="228"/>
      <c r="CD102" s="228"/>
      <c r="CE102" s="228"/>
      <c r="CF102" s="228"/>
      <c r="CG102" s="228"/>
      <c r="CH102" s="228"/>
      <c r="CI102" s="228"/>
      <c r="CJ102" s="228"/>
      <c r="CK102" s="229"/>
    </row>
    <row r="103" spans="32:96" ht="15" customHeight="1" x14ac:dyDescent="0.2">
      <c r="AF103" s="4" t="s">
        <v>107</v>
      </c>
      <c r="AG103" s="5"/>
      <c r="AH103" s="5"/>
      <c r="AI103" s="5"/>
      <c r="AJ103" s="5"/>
      <c r="AK103" s="5"/>
      <c r="AL103" s="5"/>
      <c r="AM103" s="5"/>
      <c r="AN103" s="5"/>
      <c r="AO103" s="6"/>
      <c r="AR103" s="7" t="s">
        <v>216</v>
      </c>
      <c r="AS103" s="8"/>
      <c r="AT103" s="8"/>
      <c r="AU103" s="8"/>
      <c r="AV103" s="8"/>
      <c r="AW103" s="8"/>
      <c r="AX103" s="8"/>
      <c r="AY103" s="8"/>
      <c r="AZ103" s="8"/>
      <c r="BA103" s="9"/>
      <c r="BP103" s="7"/>
      <c r="BQ103" s="8"/>
      <c r="BR103" s="73" t="s">
        <v>630</v>
      </c>
      <c r="BS103" s="103">
        <v>1.6</v>
      </c>
      <c r="BT103" s="103">
        <v>2.1</v>
      </c>
      <c r="BU103" s="103">
        <v>2.5</v>
      </c>
      <c r="BV103" s="103">
        <v>2.8</v>
      </c>
      <c r="BW103" s="103">
        <v>3.2</v>
      </c>
      <c r="BX103" s="103">
        <v>3.5</v>
      </c>
      <c r="BY103" s="103">
        <v>3.9</v>
      </c>
    </row>
    <row r="104" spans="32:96" ht="15" customHeight="1" x14ac:dyDescent="0.2">
      <c r="AF104" s="4" t="s">
        <v>108</v>
      </c>
      <c r="AG104" s="5"/>
      <c r="AH104" s="5"/>
      <c r="AI104" s="8"/>
      <c r="AJ104" s="8"/>
      <c r="AK104" s="8"/>
      <c r="AL104" s="8"/>
      <c r="AM104" s="8"/>
      <c r="AN104" s="8"/>
      <c r="AO104" s="9"/>
      <c r="AR104" s="7" t="s">
        <v>217</v>
      </c>
      <c r="AS104" s="8"/>
      <c r="AT104" s="8"/>
      <c r="AU104" s="8"/>
      <c r="AV104" s="8"/>
      <c r="AW104" s="8"/>
      <c r="AX104" s="8"/>
      <c r="AY104" s="8"/>
      <c r="AZ104" s="8"/>
      <c r="BA104" s="9"/>
      <c r="BP104" s="7"/>
      <c r="BQ104" s="8"/>
      <c r="BR104" s="73"/>
      <c r="BS104" s="103"/>
      <c r="BT104" s="103"/>
      <c r="BU104" s="103"/>
      <c r="BV104" s="103"/>
      <c r="BW104" s="103"/>
      <c r="BX104" s="103"/>
      <c r="BY104" s="103"/>
    </row>
    <row r="105" spans="32:96" ht="15" customHeight="1" x14ac:dyDescent="0.2">
      <c r="AF105" s="7" t="s">
        <v>363</v>
      </c>
      <c r="AG105" s="8"/>
      <c r="AH105" s="8"/>
      <c r="AI105" s="8"/>
      <c r="AJ105" s="8"/>
      <c r="AK105" s="8"/>
      <c r="AL105" s="8"/>
      <c r="AM105" s="8"/>
      <c r="AN105" s="8"/>
      <c r="AO105" s="9"/>
      <c r="AR105" s="7" t="s">
        <v>219</v>
      </c>
      <c r="AS105" s="8"/>
      <c r="AT105" s="8"/>
      <c r="AU105" s="8"/>
      <c r="AV105" s="8"/>
      <c r="AW105" s="8"/>
      <c r="AX105" s="8"/>
      <c r="AY105" s="8"/>
      <c r="AZ105" s="8"/>
      <c r="BA105" s="9"/>
      <c r="BP105" s="7"/>
      <c r="BQ105" s="8"/>
      <c r="BR105" s="73"/>
      <c r="BS105" s="103"/>
      <c r="BT105" s="103"/>
      <c r="BU105" s="103"/>
      <c r="BV105" s="103"/>
      <c r="BW105" s="103"/>
      <c r="BX105" s="103"/>
      <c r="BY105" s="103"/>
    </row>
    <row r="106" spans="32:96" ht="15" customHeight="1" x14ac:dyDescent="0.2">
      <c r="AF106" s="4" t="s">
        <v>109</v>
      </c>
      <c r="AG106" s="5"/>
      <c r="AH106" s="5"/>
      <c r="AI106" s="5"/>
      <c r="AJ106" s="5"/>
      <c r="AK106" s="5"/>
      <c r="AL106" s="5"/>
      <c r="AM106" s="5"/>
      <c r="AN106" s="5"/>
      <c r="AO106" s="6"/>
      <c r="AR106" s="7" t="s">
        <v>220</v>
      </c>
      <c r="AS106" s="8"/>
      <c r="AT106" s="8"/>
      <c r="AU106" s="8"/>
      <c r="AV106" s="8"/>
      <c r="AW106" s="8"/>
      <c r="AX106" s="8"/>
      <c r="AY106" s="8"/>
      <c r="AZ106" s="8"/>
      <c r="BA106" s="9"/>
      <c r="BP106" s="7"/>
      <c r="BQ106" s="8"/>
      <c r="BR106" s="73"/>
      <c r="BS106" s="103"/>
      <c r="BT106" s="103"/>
      <c r="BU106" s="103"/>
      <c r="BV106" s="103"/>
      <c r="BW106" s="103"/>
      <c r="BX106" s="103"/>
      <c r="BY106" s="103"/>
    </row>
    <row r="107" spans="32:96" ht="15" customHeight="1" x14ac:dyDescent="0.2">
      <c r="AF107" s="4" t="s">
        <v>110</v>
      </c>
      <c r="AG107" s="5"/>
      <c r="AH107" s="5"/>
      <c r="AI107" s="5"/>
      <c r="AJ107" s="5"/>
      <c r="AK107" s="5"/>
      <c r="AL107" s="5"/>
      <c r="AM107" s="5"/>
      <c r="AN107" s="5"/>
      <c r="AO107" s="6"/>
      <c r="AR107" s="7" t="s">
        <v>221</v>
      </c>
      <c r="AS107" s="8"/>
      <c r="AT107" s="8"/>
      <c r="AU107" s="8"/>
      <c r="AV107" s="8"/>
      <c r="AW107" s="8"/>
      <c r="AX107" s="8"/>
      <c r="AY107" s="8"/>
      <c r="AZ107" s="8"/>
      <c r="BA107" s="9"/>
      <c r="BP107" s="7"/>
      <c r="BQ107" s="8"/>
      <c r="BR107" s="73"/>
      <c r="BS107" s="103"/>
      <c r="BT107" s="103"/>
      <c r="BU107" s="103"/>
      <c r="BV107" s="103"/>
      <c r="BW107" s="103"/>
      <c r="BX107" s="103"/>
      <c r="BY107" s="103"/>
    </row>
    <row r="108" spans="32:96" ht="15" customHeight="1" x14ac:dyDescent="0.2">
      <c r="AF108" s="4" t="s">
        <v>111</v>
      </c>
      <c r="AG108" s="5"/>
      <c r="AH108" s="5"/>
      <c r="AI108" s="5"/>
      <c r="AJ108" s="5"/>
      <c r="AK108" s="5"/>
      <c r="AL108" s="5"/>
      <c r="AM108" s="5"/>
      <c r="AN108" s="5"/>
      <c r="AO108" s="6"/>
      <c r="AR108" s="7" t="s">
        <v>223</v>
      </c>
      <c r="AS108" s="8"/>
      <c r="AT108" s="8"/>
      <c r="AU108" s="8"/>
      <c r="AV108" s="8"/>
      <c r="AW108" s="8"/>
      <c r="AX108" s="8"/>
      <c r="AY108" s="8"/>
      <c r="AZ108" s="8"/>
      <c r="BA108" s="9"/>
      <c r="BP108" s="7"/>
      <c r="BQ108" s="8"/>
      <c r="BR108" s="73"/>
      <c r="BS108" s="103"/>
      <c r="BT108" s="103"/>
      <c r="BU108" s="103"/>
      <c r="BV108" s="103"/>
      <c r="BW108" s="103"/>
      <c r="BX108" s="103"/>
      <c r="BY108" s="103"/>
    </row>
    <row r="109" spans="32:96" ht="15" customHeight="1" x14ac:dyDescent="0.2">
      <c r="AF109" s="4" t="s">
        <v>116</v>
      </c>
      <c r="AG109" s="5"/>
      <c r="AH109" s="5"/>
      <c r="AI109" s="8"/>
      <c r="AJ109" s="8"/>
      <c r="AK109" s="8"/>
      <c r="AL109" s="8"/>
      <c r="AM109" s="8"/>
      <c r="AN109" s="8"/>
      <c r="AO109" s="9"/>
      <c r="AR109" s="7" t="s">
        <v>224</v>
      </c>
      <c r="AS109" s="8"/>
      <c r="AT109" s="8"/>
      <c r="AU109" s="8"/>
      <c r="AV109" s="8"/>
      <c r="AW109" s="8"/>
      <c r="AX109" s="8"/>
      <c r="AY109" s="8"/>
      <c r="AZ109" s="8"/>
      <c r="BA109" s="9"/>
      <c r="BO109" s="27"/>
      <c r="BP109" s="7"/>
      <c r="BQ109" s="8"/>
      <c r="BR109" s="73" t="s">
        <v>631</v>
      </c>
      <c r="BS109" s="103">
        <v>2.8</v>
      </c>
      <c r="BT109" s="103">
        <v>3.4</v>
      </c>
      <c r="BU109" s="103">
        <v>4</v>
      </c>
      <c r="BV109" s="103">
        <v>4.5999999999999996</v>
      </c>
      <c r="BW109" s="103">
        <v>5.0999999999999996</v>
      </c>
      <c r="BX109" s="103">
        <v>5.6</v>
      </c>
      <c r="BY109" s="103">
        <v>6</v>
      </c>
    </row>
    <row r="110" spans="32:96" ht="15" customHeight="1" x14ac:dyDescent="0.2">
      <c r="AF110" s="4" t="s">
        <v>112</v>
      </c>
      <c r="AG110" s="5"/>
      <c r="AH110" s="5"/>
      <c r="AI110" s="5"/>
      <c r="AJ110" s="5"/>
      <c r="AK110" s="5"/>
      <c r="AL110" s="5"/>
      <c r="AM110" s="5"/>
      <c r="AN110" s="5"/>
      <c r="AO110" s="6"/>
      <c r="AR110" s="7" t="s">
        <v>226</v>
      </c>
      <c r="AS110" s="8"/>
      <c r="AT110" s="8"/>
      <c r="AU110" s="8"/>
      <c r="AV110" s="8"/>
      <c r="AW110" s="8"/>
      <c r="AX110" s="8"/>
      <c r="AY110" s="8"/>
      <c r="AZ110" s="8"/>
      <c r="BA110" s="9"/>
      <c r="BN110" s="27"/>
      <c r="BO110" s="27"/>
      <c r="BP110" s="7"/>
      <c r="BQ110" s="8"/>
      <c r="BR110" s="73" t="s">
        <v>632</v>
      </c>
      <c r="BS110" s="103">
        <v>3.8</v>
      </c>
      <c r="BT110" s="103">
        <v>4.7</v>
      </c>
      <c r="BU110" s="103">
        <v>5.4</v>
      </c>
      <c r="BV110" s="103">
        <v>6.3</v>
      </c>
      <c r="BW110" s="103">
        <v>6.9</v>
      </c>
      <c r="BX110" s="103">
        <v>7.4</v>
      </c>
      <c r="BY110" s="103">
        <v>7.9</v>
      </c>
    </row>
    <row r="111" spans="32:96" ht="15" customHeight="1" x14ac:dyDescent="0.2">
      <c r="AF111" s="4" t="s">
        <v>119</v>
      </c>
      <c r="AG111" s="5"/>
      <c r="AH111" s="5"/>
      <c r="AI111" s="5"/>
      <c r="AJ111" s="5"/>
      <c r="AK111" s="5"/>
      <c r="AL111" s="5"/>
      <c r="AM111" s="5"/>
      <c r="AN111" s="5"/>
      <c r="AO111" s="6"/>
      <c r="AR111" s="7" t="s">
        <v>227</v>
      </c>
      <c r="AS111" s="8"/>
      <c r="AT111" s="8"/>
      <c r="AU111" s="8"/>
      <c r="AV111" s="8"/>
      <c r="AW111" s="8"/>
      <c r="AX111" s="8"/>
      <c r="AY111" s="8"/>
      <c r="AZ111" s="8"/>
      <c r="BA111" s="9"/>
      <c r="BN111" s="27"/>
      <c r="BO111" s="27"/>
      <c r="BP111" s="7"/>
      <c r="BQ111" s="8"/>
      <c r="BR111" s="73" t="s">
        <v>633</v>
      </c>
      <c r="BS111" s="103">
        <v>4.5</v>
      </c>
      <c r="BT111" s="103">
        <v>5.6</v>
      </c>
      <c r="BU111" s="103">
        <v>6.6</v>
      </c>
      <c r="BV111" s="103">
        <v>7.4</v>
      </c>
      <c r="BW111" s="103">
        <v>8.1</v>
      </c>
      <c r="BX111" s="103">
        <v>8.9</v>
      </c>
      <c r="BY111" s="103">
        <v>9.6</v>
      </c>
    </row>
    <row r="112" spans="32:96" ht="15" customHeight="1" x14ac:dyDescent="0.2">
      <c r="AF112" s="7" t="s">
        <v>364</v>
      </c>
      <c r="AG112" s="8"/>
      <c r="AH112" s="8"/>
      <c r="AI112" s="5"/>
      <c r="AJ112" s="5"/>
      <c r="AK112" s="5"/>
      <c r="AL112" s="5"/>
      <c r="AM112" s="5"/>
      <c r="AN112" s="5"/>
      <c r="AO112" s="6"/>
      <c r="AR112" s="7" t="s">
        <v>229</v>
      </c>
      <c r="AS112" s="8"/>
      <c r="AT112" s="8"/>
      <c r="AU112" s="8"/>
      <c r="AV112" s="8"/>
      <c r="AW112" s="8"/>
      <c r="AX112" s="8"/>
      <c r="AY112" s="8"/>
      <c r="AZ112" s="8"/>
      <c r="BA112" s="9"/>
      <c r="BN112" s="27"/>
      <c r="BO112" s="27"/>
      <c r="BP112" s="7"/>
      <c r="BQ112" s="8"/>
      <c r="BR112" s="73" t="s">
        <v>634</v>
      </c>
      <c r="BS112" s="103">
        <v>7.3</v>
      </c>
      <c r="BT112" s="103">
        <v>9</v>
      </c>
      <c r="BU112" s="103">
        <v>10.7</v>
      </c>
      <c r="BV112" s="103">
        <v>11.9</v>
      </c>
      <c r="BW112" s="103">
        <v>13.1</v>
      </c>
      <c r="BX112" s="103">
        <v>14.1</v>
      </c>
      <c r="BY112" s="103">
        <v>15.1</v>
      </c>
    </row>
    <row r="113" spans="32:77" ht="15" customHeight="1" x14ac:dyDescent="0.2">
      <c r="AF113" s="4" t="s">
        <v>121</v>
      </c>
      <c r="AG113" s="5"/>
      <c r="AH113" s="5"/>
      <c r="AI113" s="5"/>
      <c r="AJ113" s="5"/>
      <c r="AK113" s="5"/>
      <c r="AL113" s="5"/>
      <c r="AM113" s="5"/>
      <c r="AN113" s="5"/>
      <c r="AO113" s="6"/>
      <c r="AR113" s="7" t="s">
        <v>231</v>
      </c>
      <c r="AS113" s="8"/>
      <c r="AT113" s="8"/>
      <c r="AU113" s="8"/>
      <c r="AV113" s="8"/>
      <c r="AW113" s="8"/>
      <c r="AX113" s="8"/>
      <c r="AY113" s="8"/>
      <c r="AZ113" s="8"/>
      <c r="BA113" s="9"/>
      <c r="BN113" s="27"/>
      <c r="BO113" s="27"/>
      <c r="BP113" s="99"/>
      <c r="BQ113" s="18"/>
      <c r="BR113" s="100" t="s">
        <v>640</v>
      </c>
      <c r="BS113" s="103">
        <v>2.9</v>
      </c>
      <c r="BT113" s="103">
        <v>3.4</v>
      </c>
      <c r="BU113" s="103">
        <v>3.9</v>
      </c>
      <c r="BV113" s="103">
        <v>4.4000000000000004</v>
      </c>
      <c r="BW113" s="103">
        <v>4.7</v>
      </c>
      <c r="BX113" s="103">
        <v>5.2</v>
      </c>
      <c r="BY113" s="103">
        <v>5.5</v>
      </c>
    </row>
    <row r="114" spans="32:77" ht="15" hidden="1" customHeight="1" x14ac:dyDescent="0.2">
      <c r="AF114" s="4" t="s">
        <v>123</v>
      </c>
      <c r="AG114" s="5"/>
      <c r="AH114" s="5"/>
      <c r="AI114" s="5"/>
      <c r="AJ114" s="5"/>
      <c r="AK114" s="5"/>
      <c r="AL114" s="5"/>
      <c r="AM114" s="5"/>
      <c r="AN114" s="5"/>
      <c r="AO114" s="6"/>
      <c r="AR114" s="7" t="s">
        <v>232</v>
      </c>
      <c r="AS114" s="8"/>
      <c r="AT114" s="8"/>
      <c r="AU114" s="8"/>
      <c r="AV114" s="8"/>
      <c r="AW114" s="8"/>
      <c r="AX114" s="8"/>
      <c r="AY114" s="8"/>
      <c r="AZ114" s="8"/>
      <c r="BA114" s="9"/>
      <c r="BN114" s="27"/>
      <c r="BO114" s="27"/>
      <c r="BP114" s="7"/>
      <c r="BQ114" s="8"/>
      <c r="BR114" s="73" t="s">
        <v>642</v>
      </c>
      <c r="BS114" s="103">
        <v>5.4</v>
      </c>
      <c r="BT114" s="103">
        <v>6.4</v>
      </c>
      <c r="BU114" s="103">
        <v>7.5</v>
      </c>
      <c r="BV114" s="103">
        <v>8.3000000000000007</v>
      </c>
      <c r="BW114" s="103">
        <v>9.1</v>
      </c>
      <c r="BX114" s="103">
        <v>9.9</v>
      </c>
      <c r="BY114" s="103">
        <v>10.6</v>
      </c>
    </row>
    <row r="115" spans="32:77" ht="15" hidden="1" customHeight="1" x14ac:dyDescent="0.2">
      <c r="AF115" s="4" t="s">
        <v>113</v>
      </c>
      <c r="AG115" s="5"/>
      <c r="AH115" s="5"/>
      <c r="AI115" s="5"/>
      <c r="AJ115" s="5"/>
      <c r="AK115" s="5"/>
      <c r="AL115" s="5"/>
      <c r="AM115" s="5"/>
      <c r="AN115" s="5"/>
      <c r="AO115" s="6"/>
      <c r="AR115" s="7" t="s">
        <v>233</v>
      </c>
      <c r="AS115" s="8"/>
      <c r="AT115" s="8"/>
      <c r="AU115" s="8"/>
      <c r="AV115" s="8"/>
      <c r="AW115" s="8"/>
      <c r="AX115" s="8"/>
      <c r="AY115" s="8"/>
      <c r="AZ115" s="8"/>
      <c r="BA115" s="9"/>
      <c r="BN115" s="27"/>
      <c r="BO115" s="27"/>
      <c r="BP115" s="7"/>
      <c r="BQ115" s="8"/>
      <c r="BR115" s="73"/>
      <c r="BS115" s="103"/>
      <c r="BT115" s="103"/>
      <c r="BU115" s="103"/>
      <c r="BV115" s="103"/>
      <c r="BW115" s="103"/>
      <c r="BX115" s="103"/>
      <c r="BY115" s="103"/>
    </row>
    <row r="116" spans="32:77" ht="15" hidden="1" customHeight="1" x14ac:dyDescent="0.2">
      <c r="AF116" s="4" t="s">
        <v>114</v>
      </c>
      <c r="AG116" s="5"/>
      <c r="AH116" s="5"/>
      <c r="AI116" s="8"/>
      <c r="AJ116" s="8"/>
      <c r="AK116" s="8"/>
      <c r="AL116" s="8"/>
      <c r="AM116" s="8"/>
      <c r="AN116" s="8"/>
      <c r="AO116" s="9"/>
      <c r="AR116" s="7" t="s">
        <v>235</v>
      </c>
      <c r="AS116" s="8"/>
      <c r="AT116" s="8"/>
      <c r="AU116" s="8"/>
      <c r="AV116" s="8"/>
      <c r="AW116" s="8"/>
      <c r="AX116" s="8"/>
      <c r="AY116" s="8"/>
      <c r="AZ116" s="8"/>
      <c r="BA116" s="9"/>
      <c r="BN116" s="27"/>
      <c r="BO116" s="27"/>
      <c r="BP116" s="7"/>
      <c r="BQ116" s="8"/>
      <c r="BR116" s="73"/>
      <c r="BS116" s="103"/>
      <c r="BT116" s="103"/>
      <c r="BU116" s="103"/>
      <c r="BV116" s="103"/>
      <c r="BW116" s="103"/>
      <c r="BX116" s="103"/>
      <c r="BY116" s="103"/>
    </row>
    <row r="117" spans="32:77" ht="15" hidden="1" customHeight="1" x14ac:dyDescent="0.2">
      <c r="AF117" s="4" t="s">
        <v>115</v>
      </c>
      <c r="AG117" s="5"/>
      <c r="AH117" s="5"/>
      <c r="AI117" s="5"/>
      <c r="AJ117" s="5"/>
      <c r="AK117" s="5"/>
      <c r="AL117" s="5"/>
      <c r="AM117" s="5"/>
      <c r="AN117" s="5"/>
      <c r="AO117" s="6"/>
      <c r="AR117" s="7" t="s">
        <v>237</v>
      </c>
      <c r="AS117" s="8"/>
      <c r="AT117" s="8"/>
      <c r="AU117" s="8"/>
      <c r="AV117" s="8"/>
      <c r="AW117" s="8"/>
      <c r="AX117" s="8"/>
      <c r="AY117" s="8"/>
      <c r="AZ117" s="8"/>
      <c r="BA117" s="9"/>
      <c r="BN117" s="27"/>
      <c r="BO117" s="27"/>
      <c r="BP117" s="7"/>
      <c r="BQ117" s="8"/>
      <c r="BR117" s="73"/>
      <c r="BS117" s="103"/>
      <c r="BT117" s="103"/>
      <c r="BU117" s="103"/>
      <c r="BV117" s="103"/>
      <c r="BW117" s="104"/>
      <c r="BX117" s="104"/>
      <c r="BY117" s="104"/>
    </row>
    <row r="118" spans="32:77" ht="15" hidden="1" customHeight="1" x14ac:dyDescent="0.2">
      <c r="AF118" s="7" t="s">
        <v>365</v>
      </c>
      <c r="AG118" s="8"/>
      <c r="AH118" s="8"/>
      <c r="AI118" s="5"/>
      <c r="AJ118" s="5"/>
      <c r="AK118" s="5"/>
      <c r="AL118" s="5"/>
      <c r="AM118" s="5"/>
      <c r="AN118" s="5"/>
      <c r="AO118" s="6"/>
      <c r="AR118" s="7" t="s">
        <v>239</v>
      </c>
      <c r="AS118" s="8"/>
      <c r="AT118" s="8"/>
      <c r="AU118" s="8"/>
      <c r="AV118" s="8"/>
      <c r="AW118" s="8"/>
      <c r="AX118" s="8"/>
      <c r="AY118" s="8"/>
      <c r="AZ118" s="8"/>
      <c r="BA118" s="9"/>
      <c r="BN118" s="27"/>
      <c r="BO118" s="27"/>
      <c r="BP118" s="7"/>
      <c r="BQ118" s="8"/>
      <c r="BR118" s="73"/>
      <c r="BS118" s="103"/>
      <c r="BT118" s="103"/>
      <c r="BU118" s="103"/>
      <c r="BV118" s="103"/>
      <c r="BW118" s="104"/>
      <c r="BX118" s="104"/>
      <c r="BY118" s="104"/>
    </row>
    <row r="119" spans="32:77" ht="15" hidden="1" customHeight="1" x14ac:dyDescent="0.2">
      <c r="AF119" s="4" t="s">
        <v>128</v>
      </c>
      <c r="AG119" s="5"/>
      <c r="AH119" s="5"/>
      <c r="AI119" s="5"/>
      <c r="AJ119" s="5"/>
      <c r="AK119" s="5"/>
      <c r="AL119" s="5"/>
      <c r="AM119" s="5"/>
      <c r="AN119" s="5"/>
      <c r="AO119" s="6"/>
      <c r="AR119" s="7" t="s">
        <v>241</v>
      </c>
      <c r="AS119" s="8"/>
      <c r="AT119" s="8"/>
      <c r="AU119" s="8"/>
      <c r="AV119" s="8"/>
      <c r="AW119" s="8"/>
      <c r="AX119" s="8"/>
      <c r="AY119" s="8"/>
      <c r="AZ119" s="8"/>
      <c r="BA119" s="9"/>
      <c r="BN119" s="27"/>
      <c r="BO119" s="27"/>
      <c r="BP119" s="7"/>
      <c r="BQ119" s="8"/>
      <c r="BR119" s="73"/>
      <c r="BS119" s="103"/>
      <c r="BT119" s="103"/>
      <c r="BU119" s="103"/>
      <c r="BV119" s="103"/>
      <c r="BW119" s="104"/>
      <c r="BX119" s="104"/>
      <c r="BY119" s="104"/>
    </row>
    <row r="120" spans="32:77" ht="15" hidden="1" customHeight="1" x14ac:dyDescent="0.2">
      <c r="AF120" s="4" t="s">
        <v>117</v>
      </c>
      <c r="AG120" s="5"/>
      <c r="AH120" s="5"/>
      <c r="AI120" s="5"/>
      <c r="AJ120" s="5"/>
      <c r="AK120" s="5"/>
      <c r="AL120" s="5"/>
      <c r="AM120" s="5"/>
      <c r="AN120" s="5"/>
      <c r="AO120" s="6"/>
      <c r="AR120" s="7" t="s">
        <v>243</v>
      </c>
      <c r="AS120" s="8"/>
      <c r="AT120" s="8"/>
      <c r="AU120" s="8"/>
      <c r="AV120" s="8"/>
      <c r="AW120" s="8"/>
      <c r="AX120" s="8"/>
      <c r="AY120" s="8"/>
      <c r="AZ120" s="8"/>
      <c r="BA120" s="9"/>
      <c r="BN120" s="27"/>
      <c r="BO120" s="27"/>
      <c r="BP120" s="7"/>
      <c r="BQ120" s="8"/>
      <c r="BR120" s="73"/>
      <c r="BS120" s="103"/>
      <c r="BT120" s="103"/>
      <c r="BU120" s="103"/>
      <c r="BV120" s="103"/>
      <c r="BW120" s="104"/>
      <c r="BX120" s="104"/>
      <c r="BY120" s="104"/>
    </row>
    <row r="121" spans="32:77" ht="15" hidden="1" customHeight="1" x14ac:dyDescent="0.2">
      <c r="AF121" s="4" t="s">
        <v>131</v>
      </c>
      <c r="AG121" s="5"/>
      <c r="AH121" s="5"/>
      <c r="AI121" s="5"/>
      <c r="AJ121" s="5"/>
      <c r="AK121" s="5"/>
      <c r="AL121" s="5"/>
      <c r="AM121" s="5"/>
      <c r="AN121" s="5"/>
      <c r="AO121" s="6"/>
      <c r="AR121" s="7" t="s">
        <v>245</v>
      </c>
      <c r="AS121" s="8"/>
      <c r="AT121" s="8"/>
      <c r="AU121" s="8"/>
      <c r="AV121" s="8"/>
      <c r="AW121" s="8"/>
      <c r="AX121" s="8"/>
      <c r="AY121" s="8"/>
      <c r="AZ121" s="8"/>
      <c r="BA121" s="9"/>
      <c r="BN121" s="27"/>
      <c r="BO121" s="27"/>
    </row>
    <row r="122" spans="32:77" ht="15" hidden="1" customHeight="1" x14ac:dyDescent="0.2">
      <c r="AF122" s="4" t="s">
        <v>118</v>
      </c>
      <c r="AG122" s="5"/>
      <c r="AH122" s="5"/>
      <c r="AI122" s="8"/>
      <c r="AJ122" s="8"/>
      <c r="AK122" s="8"/>
      <c r="AL122" s="8"/>
      <c r="AM122" s="8"/>
      <c r="AN122" s="8"/>
      <c r="AO122" s="9"/>
      <c r="AR122" s="7" t="s">
        <v>246</v>
      </c>
      <c r="AS122" s="8"/>
      <c r="AT122" s="8"/>
      <c r="AU122" s="8"/>
      <c r="AV122" s="8"/>
      <c r="AW122" s="8"/>
      <c r="AX122" s="8"/>
      <c r="AY122" s="8"/>
      <c r="AZ122" s="8"/>
      <c r="BA122" s="9"/>
      <c r="BN122" s="27"/>
      <c r="BO122" s="27"/>
      <c r="BP122" s="227" t="s">
        <v>639</v>
      </c>
      <c r="BQ122" s="228"/>
      <c r="BR122" s="228"/>
      <c r="BS122" s="228"/>
      <c r="BT122" s="228"/>
      <c r="BU122" s="228"/>
      <c r="BV122" s="228"/>
      <c r="BW122" s="228"/>
      <c r="BX122" s="228"/>
      <c r="BY122" s="229"/>
    </row>
    <row r="123" spans="32:77" ht="15" hidden="1" customHeight="1" x14ac:dyDescent="0.2">
      <c r="AF123" s="4" t="s">
        <v>120</v>
      </c>
      <c r="AG123" s="5"/>
      <c r="AH123" s="5"/>
      <c r="AI123" s="5"/>
      <c r="AJ123" s="5"/>
      <c r="AK123" s="5"/>
      <c r="AL123" s="5"/>
      <c r="AM123" s="5"/>
      <c r="AN123" s="5"/>
      <c r="AO123" s="6"/>
      <c r="AR123" s="7" t="s">
        <v>247</v>
      </c>
      <c r="AS123" s="8"/>
      <c r="AT123" s="8"/>
      <c r="AU123" s="8"/>
      <c r="AV123" s="8"/>
      <c r="AW123" s="8"/>
      <c r="AX123" s="8"/>
      <c r="AY123" s="8"/>
      <c r="AZ123" s="8"/>
      <c r="BA123" s="9"/>
      <c r="BN123" s="27"/>
      <c r="BO123" s="27"/>
      <c r="BP123" s="7"/>
      <c r="BQ123" s="8"/>
      <c r="BR123" s="9" t="s">
        <v>569</v>
      </c>
      <c r="BS123" s="16">
        <v>2</v>
      </c>
      <c r="BT123" s="16">
        <v>3</v>
      </c>
      <c r="BU123" s="16">
        <v>4</v>
      </c>
      <c r="BV123" s="16">
        <v>5</v>
      </c>
      <c r="BW123" s="16">
        <v>6</v>
      </c>
      <c r="BX123" s="16">
        <v>7</v>
      </c>
      <c r="BY123" s="16">
        <v>8</v>
      </c>
    </row>
    <row r="124" spans="32:77" ht="15" hidden="1" customHeight="1" x14ac:dyDescent="0.2">
      <c r="AF124" s="4" t="s">
        <v>135</v>
      </c>
      <c r="AG124" s="5"/>
      <c r="AH124" s="5"/>
      <c r="AI124" s="5"/>
      <c r="AJ124" s="5"/>
      <c r="AK124" s="5"/>
      <c r="AL124" s="5"/>
      <c r="AM124" s="5"/>
      <c r="AN124" s="5"/>
      <c r="AO124" s="6"/>
      <c r="AR124" s="7" t="s">
        <v>249</v>
      </c>
      <c r="AS124" s="8"/>
      <c r="AT124" s="8"/>
      <c r="AU124" s="8"/>
      <c r="AV124" s="8"/>
      <c r="AW124" s="8"/>
      <c r="AX124" s="8"/>
      <c r="AY124" s="8"/>
      <c r="AZ124" s="8"/>
      <c r="BA124" s="9"/>
      <c r="BO124" s="27"/>
      <c r="BP124" s="99"/>
      <c r="BQ124" s="18"/>
      <c r="BR124" s="100"/>
      <c r="BS124" s="103"/>
      <c r="BT124" s="103"/>
      <c r="BU124" s="103"/>
      <c r="BV124" s="103"/>
      <c r="BW124" s="103"/>
      <c r="BX124" s="103"/>
      <c r="BY124" s="103"/>
    </row>
    <row r="125" spans="32:77" ht="15" hidden="1" customHeight="1" x14ac:dyDescent="0.2">
      <c r="AF125" s="4" t="s">
        <v>122</v>
      </c>
      <c r="AG125" s="5"/>
      <c r="AH125" s="5"/>
      <c r="AI125" s="5"/>
      <c r="AJ125" s="5"/>
      <c r="AK125" s="5"/>
      <c r="AL125" s="5"/>
      <c r="AM125" s="5"/>
      <c r="AN125" s="5"/>
      <c r="AO125" s="6"/>
      <c r="AR125" s="7" t="s">
        <v>251</v>
      </c>
      <c r="AS125" s="8"/>
      <c r="AT125" s="8"/>
      <c r="AU125" s="8"/>
      <c r="AV125" s="8"/>
      <c r="AW125" s="8"/>
      <c r="AX125" s="8"/>
      <c r="AY125" s="8"/>
      <c r="AZ125" s="8"/>
      <c r="BA125" s="9"/>
      <c r="BO125" s="27"/>
      <c r="BP125" s="7"/>
      <c r="BQ125" s="8"/>
      <c r="BR125" s="73"/>
      <c r="BS125" s="103"/>
      <c r="BT125" s="103"/>
      <c r="BU125" s="103"/>
      <c r="BV125" s="103"/>
      <c r="BW125" s="103"/>
      <c r="BX125" s="103"/>
      <c r="BY125" s="103"/>
    </row>
    <row r="126" spans="32:77" ht="15" hidden="1" customHeight="1" x14ac:dyDescent="0.2">
      <c r="AF126" s="4" t="s">
        <v>124</v>
      </c>
      <c r="AG126" s="5"/>
      <c r="AH126" s="5"/>
      <c r="AI126" s="5"/>
      <c r="AJ126" s="5"/>
      <c r="AK126" s="5"/>
      <c r="AL126" s="5"/>
      <c r="AM126" s="5"/>
      <c r="AN126" s="5"/>
      <c r="AO126" s="6"/>
      <c r="AR126" s="7" t="s">
        <v>252</v>
      </c>
      <c r="AS126" s="8"/>
      <c r="AT126" s="8"/>
      <c r="AU126" s="8"/>
      <c r="AV126" s="8"/>
      <c r="AW126" s="8"/>
      <c r="AX126" s="8"/>
      <c r="AY126" s="8"/>
      <c r="AZ126" s="8"/>
      <c r="BA126" s="9"/>
      <c r="BO126" s="27"/>
      <c r="BP126" s="7"/>
      <c r="BQ126" s="8"/>
      <c r="BR126" s="73"/>
      <c r="BS126" s="105"/>
      <c r="BT126" s="105"/>
      <c r="BU126" s="105"/>
      <c r="BV126" s="105"/>
      <c r="BW126" s="105"/>
      <c r="BX126" s="105"/>
      <c r="BY126" s="105"/>
    </row>
    <row r="127" spans="32:77" ht="15" hidden="1" customHeight="1" x14ac:dyDescent="0.2">
      <c r="AF127" s="4" t="s">
        <v>139</v>
      </c>
      <c r="AG127" s="5"/>
      <c r="AH127" s="5"/>
      <c r="AI127" s="5"/>
      <c r="AJ127" s="5"/>
      <c r="AK127" s="5"/>
      <c r="AL127" s="5"/>
      <c r="AM127" s="5"/>
      <c r="AN127" s="5"/>
      <c r="AO127" s="6"/>
      <c r="AR127" s="7" t="s">
        <v>253</v>
      </c>
      <c r="AS127" s="8"/>
      <c r="AT127" s="8"/>
      <c r="AU127" s="8"/>
      <c r="AV127" s="8"/>
      <c r="AW127" s="8"/>
      <c r="AX127" s="8"/>
      <c r="AY127" s="8"/>
      <c r="AZ127" s="8"/>
      <c r="BA127" s="9"/>
      <c r="BP127" s="7"/>
      <c r="BQ127" s="8"/>
      <c r="BR127" s="73"/>
      <c r="BS127" s="105"/>
      <c r="BT127" s="105"/>
      <c r="BU127" s="105"/>
      <c r="BV127" s="105"/>
      <c r="BW127" s="105"/>
      <c r="BX127" s="105"/>
      <c r="BY127" s="105"/>
    </row>
    <row r="128" spans="32:77" ht="15" hidden="1" customHeight="1" x14ac:dyDescent="0.2">
      <c r="AF128" s="4" t="s">
        <v>141</v>
      </c>
      <c r="AG128" s="5"/>
      <c r="AH128" s="5"/>
      <c r="AI128" s="5"/>
      <c r="AJ128" s="5"/>
      <c r="AK128" s="5"/>
      <c r="AL128" s="5"/>
      <c r="AM128" s="5"/>
      <c r="AN128" s="5"/>
      <c r="AO128" s="6"/>
      <c r="AR128" s="7" t="s">
        <v>255</v>
      </c>
      <c r="AS128" s="8"/>
      <c r="AT128" s="8"/>
      <c r="AU128" s="8"/>
      <c r="AV128" s="8"/>
      <c r="AW128" s="8"/>
      <c r="AX128" s="8"/>
      <c r="AY128" s="8"/>
      <c r="AZ128" s="8"/>
      <c r="BA128" s="9"/>
      <c r="BP128" s="7"/>
      <c r="BQ128" s="8"/>
      <c r="BR128" s="73"/>
      <c r="BS128" s="105"/>
      <c r="BT128" s="105"/>
      <c r="BU128" s="105"/>
      <c r="BV128" s="105"/>
      <c r="BW128" s="105"/>
      <c r="BX128" s="105"/>
      <c r="BY128" s="105"/>
    </row>
    <row r="129" spans="32:77" ht="15" hidden="1" customHeight="1" x14ac:dyDescent="0.2">
      <c r="AF129" s="4" t="s">
        <v>125</v>
      </c>
      <c r="AG129" s="5"/>
      <c r="AH129" s="5"/>
      <c r="AI129" s="5"/>
      <c r="AJ129" s="5"/>
      <c r="AK129" s="5"/>
      <c r="AL129" s="5"/>
      <c r="AM129" s="5"/>
      <c r="AN129" s="5"/>
      <c r="AO129" s="6"/>
      <c r="AR129" s="7" t="s">
        <v>257</v>
      </c>
      <c r="AS129" s="8"/>
      <c r="AT129" s="8"/>
      <c r="AU129" s="8"/>
      <c r="AV129" s="8"/>
      <c r="AW129" s="8"/>
      <c r="AX129" s="8"/>
      <c r="AY129" s="8"/>
      <c r="AZ129" s="8"/>
      <c r="BA129" s="9"/>
      <c r="BP129" s="7"/>
      <c r="BQ129" s="8"/>
      <c r="BR129" s="73"/>
      <c r="BS129" s="105"/>
      <c r="BT129" s="105"/>
      <c r="BU129" s="105"/>
      <c r="BV129" s="105"/>
      <c r="BW129" s="105"/>
      <c r="BX129" s="105"/>
      <c r="BY129" s="105"/>
    </row>
    <row r="130" spans="32:77" ht="15" hidden="1" customHeight="1" x14ac:dyDescent="0.2">
      <c r="AF130" s="4" t="s">
        <v>126</v>
      </c>
      <c r="AG130" s="5"/>
      <c r="AH130" s="5"/>
      <c r="AI130" s="5"/>
      <c r="AJ130" s="5"/>
      <c r="AK130" s="5"/>
      <c r="AL130" s="5"/>
      <c r="AM130" s="5"/>
      <c r="AN130" s="5"/>
      <c r="AO130" s="6"/>
      <c r="AR130" s="7" t="s">
        <v>258</v>
      </c>
      <c r="AS130" s="8"/>
      <c r="AT130" s="8"/>
      <c r="AU130" s="8"/>
      <c r="AV130" s="8"/>
      <c r="AW130" s="8"/>
      <c r="AX130" s="8"/>
      <c r="AY130" s="8"/>
      <c r="AZ130" s="8"/>
      <c r="BA130" s="9"/>
      <c r="BP130" s="7"/>
      <c r="BQ130" s="8"/>
      <c r="BR130" s="73"/>
      <c r="BS130" s="105"/>
      <c r="BT130" s="105"/>
      <c r="BU130" s="105"/>
      <c r="BV130" s="105"/>
      <c r="BW130" s="105"/>
      <c r="BX130" s="105"/>
      <c r="BY130" s="105"/>
    </row>
    <row r="131" spans="32:77" ht="15" hidden="1" customHeight="1" x14ac:dyDescent="0.2">
      <c r="AF131" s="7" t="s">
        <v>366</v>
      </c>
      <c r="AG131" s="8"/>
      <c r="AH131" s="8"/>
      <c r="AI131" s="5"/>
      <c r="AJ131" s="5"/>
      <c r="AK131" s="5"/>
      <c r="AL131" s="5"/>
      <c r="AM131" s="5"/>
      <c r="AN131" s="5"/>
      <c r="AO131" s="6"/>
      <c r="AR131" s="7" t="s">
        <v>259</v>
      </c>
      <c r="AS131" s="8"/>
      <c r="AT131" s="8"/>
      <c r="AU131" s="8"/>
      <c r="AV131" s="8"/>
      <c r="AW131" s="8"/>
      <c r="AX131" s="8"/>
      <c r="AY131" s="8"/>
      <c r="AZ131" s="8"/>
      <c r="BA131" s="9"/>
      <c r="BP131" s="7"/>
      <c r="BQ131" s="8"/>
      <c r="BR131" s="73"/>
      <c r="BS131" s="105"/>
      <c r="BT131" s="105"/>
      <c r="BU131" s="105"/>
      <c r="BV131" s="105"/>
      <c r="BW131" s="105"/>
      <c r="BX131" s="105"/>
      <c r="BY131" s="105"/>
    </row>
    <row r="132" spans="32:77" ht="15" hidden="1" customHeight="1" x14ac:dyDescent="0.2">
      <c r="AF132" s="7" t="s">
        <v>367</v>
      </c>
      <c r="AG132" s="8"/>
      <c r="AH132" s="8"/>
      <c r="AI132" s="5"/>
      <c r="AJ132" s="5"/>
      <c r="AK132" s="5"/>
      <c r="AL132" s="5"/>
      <c r="AM132" s="5"/>
      <c r="AN132" s="5"/>
      <c r="AO132" s="6"/>
      <c r="AR132" s="7" t="s">
        <v>260</v>
      </c>
      <c r="AS132" s="8"/>
      <c r="AT132" s="8"/>
      <c r="AU132" s="8"/>
      <c r="AV132" s="8"/>
      <c r="AW132" s="8"/>
      <c r="AX132" s="8"/>
      <c r="AY132" s="8"/>
      <c r="AZ132" s="8"/>
      <c r="BA132" s="9"/>
      <c r="BP132" s="7"/>
      <c r="BQ132" s="8"/>
      <c r="BR132" s="73"/>
      <c r="BS132" s="103"/>
      <c r="BT132" s="103"/>
      <c r="BU132" s="103"/>
      <c r="BV132" s="103"/>
      <c r="BW132" s="103"/>
      <c r="BX132" s="103"/>
      <c r="BY132" s="103"/>
    </row>
    <row r="133" spans="32:77" ht="15" hidden="1" customHeight="1" x14ac:dyDescent="0.2">
      <c r="AF133" s="4" t="s">
        <v>145</v>
      </c>
      <c r="AG133" s="5"/>
      <c r="AH133" s="5"/>
      <c r="AI133" s="5"/>
      <c r="AJ133" s="5"/>
      <c r="AK133" s="5"/>
      <c r="AL133" s="5"/>
      <c r="AM133" s="5"/>
      <c r="AN133" s="5"/>
      <c r="AO133" s="6"/>
      <c r="AR133" s="7" t="s">
        <v>262</v>
      </c>
      <c r="AS133" s="8"/>
      <c r="AT133" s="8"/>
      <c r="AU133" s="8"/>
      <c r="AV133" s="8"/>
      <c r="AW133" s="8"/>
      <c r="AX133" s="8"/>
      <c r="AY133" s="8"/>
      <c r="AZ133" s="8"/>
      <c r="BA133" s="9"/>
      <c r="BP133" s="7"/>
      <c r="BQ133" s="8"/>
      <c r="BR133" s="73"/>
      <c r="BS133" s="103"/>
      <c r="BT133" s="103"/>
      <c r="BU133" s="103"/>
      <c r="BV133" s="103"/>
      <c r="BW133" s="103"/>
      <c r="BX133" s="103"/>
      <c r="BY133" s="103"/>
    </row>
    <row r="134" spans="32:77" ht="15" hidden="1" customHeight="1" x14ac:dyDescent="0.2">
      <c r="AF134" s="4" t="s">
        <v>147</v>
      </c>
      <c r="AG134" s="5"/>
      <c r="AH134" s="5"/>
      <c r="AI134" s="5"/>
      <c r="AJ134" s="5"/>
      <c r="AK134" s="5"/>
      <c r="AL134" s="5"/>
      <c r="AM134" s="5"/>
      <c r="AN134" s="5"/>
      <c r="AO134" s="6"/>
      <c r="AR134" s="7" t="s">
        <v>264</v>
      </c>
      <c r="AS134" s="8"/>
      <c r="AT134" s="8"/>
      <c r="AU134" s="8"/>
      <c r="AV134" s="8"/>
      <c r="AW134" s="8"/>
      <c r="AX134" s="8"/>
      <c r="AY134" s="8"/>
      <c r="AZ134" s="8"/>
      <c r="BA134" s="9"/>
      <c r="BP134" s="7"/>
      <c r="BQ134" s="8"/>
      <c r="BR134" s="73"/>
      <c r="BS134" s="103"/>
      <c r="BT134" s="103"/>
      <c r="BU134" s="103"/>
      <c r="BV134" s="103"/>
      <c r="BW134" s="103"/>
      <c r="BX134" s="103"/>
      <c r="BY134" s="103"/>
    </row>
    <row r="135" spans="32:77" ht="15" hidden="1" customHeight="1" x14ac:dyDescent="0.2">
      <c r="AF135" s="4" t="s">
        <v>149</v>
      </c>
      <c r="AG135" s="5"/>
      <c r="AH135" s="5"/>
      <c r="AI135" s="8"/>
      <c r="AJ135" s="8"/>
      <c r="AK135" s="8"/>
      <c r="AL135" s="8"/>
      <c r="AM135" s="8"/>
      <c r="AN135" s="8"/>
      <c r="AO135" s="9"/>
      <c r="AR135" s="7" t="s">
        <v>266</v>
      </c>
      <c r="AS135" s="8"/>
      <c r="AT135" s="8"/>
      <c r="AU135" s="8"/>
      <c r="AV135" s="8"/>
      <c r="AW135" s="8"/>
      <c r="AX135" s="8"/>
      <c r="AY135" s="8"/>
      <c r="AZ135" s="8"/>
      <c r="BA135" s="9"/>
      <c r="BP135" s="7"/>
      <c r="BQ135" s="8"/>
      <c r="BR135" s="73"/>
      <c r="BS135" s="103"/>
      <c r="BT135" s="103"/>
      <c r="BU135" s="103"/>
      <c r="BV135" s="103"/>
      <c r="BW135" s="103"/>
      <c r="BX135" s="103"/>
      <c r="BY135" s="103"/>
    </row>
    <row r="136" spans="32:77" ht="15" hidden="1" customHeight="1" x14ac:dyDescent="0.2">
      <c r="AF136" s="4" t="s">
        <v>151</v>
      </c>
      <c r="AG136" s="5"/>
      <c r="AH136" s="5"/>
      <c r="AI136" s="8"/>
      <c r="AJ136" s="8"/>
      <c r="AK136" s="8"/>
      <c r="AL136" s="8"/>
      <c r="AM136" s="8"/>
      <c r="AN136" s="8"/>
      <c r="AO136" s="9"/>
      <c r="AR136" s="7" t="s">
        <v>268</v>
      </c>
      <c r="AS136" s="8"/>
      <c r="AT136" s="8"/>
      <c r="AU136" s="8"/>
      <c r="AV136" s="8"/>
      <c r="AW136" s="8"/>
      <c r="AX136" s="8"/>
      <c r="AY136" s="8"/>
      <c r="AZ136" s="8"/>
      <c r="BA136" s="9"/>
      <c r="BP136" s="7"/>
      <c r="BQ136" s="8"/>
      <c r="BR136" s="100" t="s">
        <v>640</v>
      </c>
      <c r="BS136" s="103">
        <v>2</v>
      </c>
      <c r="BT136" s="103">
        <v>2.5</v>
      </c>
      <c r="BU136" s="103">
        <v>3</v>
      </c>
      <c r="BV136" s="103">
        <v>3.4</v>
      </c>
      <c r="BW136" s="103">
        <v>3.7</v>
      </c>
      <c r="BX136" s="103">
        <v>4.0999999999999996</v>
      </c>
      <c r="BY136" s="103">
        <v>4.5</v>
      </c>
    </row>
    <row r="137" spans="32:77" ht="15" hidden="1" customHeight="1" x14ac:dyDescent="0.2">
      <c r="AF137" s="7" t="s">
        <v>368</v>
      </c>
      <c r="AG137" s="8"/>
      <c r="AH137" s="8"/>
      <c r="AI137" s="5"/>
      <c r="AJ137" s="5"/>
      <c r="AK137" s="5"/>
      <c r="AL137" s="5"/>
      <c r="AM137" s="5"/>
      <c r="AN137" s="5"/>
      <c r="AO137" s="6"/>
      <c r="AR137" s="7" t="s">
        <v>269</v>
      </c>
      <c r="AS137" s="8"/>
      <c r="AT137" s="8"/>
      <c r="AU137" s="8"/>
      <c r="AV137" s="8"/>
      <c r="AW137" s="8"/>
      <c r="AX137" s="8"/>
      <c r="AY137" s="8"/>
      <c r="AZ137" s="8"/>
      <c r="BA137" s="9"/>
      <c r="BP137" s="7"/>
      <c r="BQ137" s="8"/>
      <c r="BR137" s="73" t="s">
        <v>642</v>
      </c>
      <c r="BS137" s="103">
        <v>2.7</v>
      </c>
      <c r="BT137" s="103">
        <v>3.4</v>
      </c>
      <c r="BU137" s="103">
        <v>4.2</v>
      </c>
      <c r="BV137" s="103">
        <v>4.9000000000000004</v>
      </c>
      <c r="BW137" s="103">
        <v>5.5</v>
      </c>
      <c r="BX137" s="103">
        <v>5.9</v>
      </c>
      <c r="BY137" s="103">
        <v>6.6</v>
      </c>
    </row>
    <row r="138" spans="32:77" ht="15" hidden="1" customHeight="1" x14ac:dyDescent="0.2">
      <c r="AF138" s="4" t="s">
        <v>153</v>
      </c>
      <c r="AG138" s="5"/>
      <c r="AH138" s="5"/>
      <c r="AI138" s="5"/>
      <c r="AJ138" s="5"/>
      <c r="AK138" s="5"/>
      <c r="AL138" s="5"/>
      <c r="AM138" s="5"/>
      <c r="AN138" s="5"/>
      <c r="AO138" s="6"/>
      <c r="AR138" s="7" t="s">
        <v>270</v>
      </c>
      <c r="AS138" s="8"/>
      <c r="AT138" s="8"/>
      <c r="AU138" s="8"/>
      <c r="AV138" s="8"/>
      <c r="AW138" s="8"/>
      <c r="AX138" s="8"/>
      <c r="AY138" s="8"/>
      <c r="AZ138" s="8"/>
      <c r="BA138" s="9"/>
      <c r="BP138" s="7"/>
      <c r="BQ138" s="8"/>
      <c r="BR138" s="73"/>
      <c r="BS138" s="103"/>
      <c r="BT138" s="103"/>
      <c r="BU138" s="103"/>
      <c r="BV138" s="103"/>
      <c r="BW138" s="103"/>
      <c r="BX138" s="103"/>
      <c r="BY138" s="103"/>
    </row>
    <row r="139" spans="32:77" ht="15" hidden="1" customHeight="1" x14ac:dyDescent="0.2">
      <c r="AF139" s="4" t="s">
        <v>127</v>
      </c>
      <c r="AG139" s="5"/>
      <c r="AH139" s="5"/>
      <c r="AI139" s="5"/>
      <c r="AJ139" s="5"/>
      <c r="AK139" s="5"/>
      <c r="AL139" s="5"/>
      <c r="AM139" s="5"/>
      <c r="AN139" s="5"/>
      <c r="AO139" s="6"/>
      <c r="AR139" s="7" t="s">
        <v>271</v>
      </c>
      <c r="AS139" s="8"/>
      <c r="AT139" s="8"/>
      <c r="AU139" s="8"/>
      <c r="AV139" s="8"/>
      <c r="AW139" s="8"/>
      <c r="AX139" s="8"/>
      <c r="AY139" s="8"/>
      <c r="AZ139" s="8"/>
      <c r="BA139" s="9"/>
      <c r="BP139" s="7"/>
      <c r="BQ139" s="8"/>
      <c r="BR139" s="73"/>
      <c r="BS139" s="103"/>
      <c r="BT139" s="103"/>
      <c r="BU139" s="103"/>
      <c r="BV139" s="103"/>
      <c r="BW139" s="103"/>
      <c r="BX139" s="103"/>
      <c r="BY139" s="103"/>
    </row>
    <row r="140" spans="32:77" ht="15" hidden="1" customHeight="1" x14ac:dyDescent="0.2">
      <c r="AF140" s="4" t="s">
        <v>156</v>
      </c>
      <c r="AG140" s="5"/>
      <c r="AH140" s="5"/>
      <c r="AI140" s="5"/>
      <c r="AJ140" s="5"/>
      <c r="AK140" s="5"/>
      <c r="AL140" s="5"/>
      <c r="AM140" s="5"/>
      <c r="AN140" s="5"/>
      <c r="AO140" s="6"/>
      <c r="AR140" s="4" t="s">
        <v>329</v>
      </c>
      <c r="AS140" s="5"/>
      <c r="AT140" s="5"/>
      <c r="AU140" s="5"/>
      <c r="AV140" s="5"/>
      <c r="AW140" s="5"/>
      <c r="AX140" s="5"/>
      <c r="AY140" s="5"/>
      <c r="AZ140" s="5"/>
      <c r="BA140" s="6"/>
      <c r="BP140" s="7"/>
      <c r="BQ140" s="8"/>
      <c r="BR140" s="73"/>
      <c r="BS140" s="103"/>
      <c r="BT140" s="103"/>
      <c r="BU140" s="103"/>
      <c r="BV140" s="103"/>
      <c r="BW140" s="104"/>
      <c r="BX140" s="104"/>
      <c r="BY140" s="104"/>
    </row>
    <row r="141" spans="32:77" ht="15" hidden="1" customHeight="1" x14ac:dyDescent="0.2">
      <c r="AF141" s="4" t="s">
        <v>129</v>
      </c>
      <c r="AG141" s="5"/>
      <c r="AH141" s="5"/>
      <c r="AI141" s="8"/>
      <c r="AJ141" s="8"/>
      <c r="AK141" s="8"/>
      <c r="AL141" s="8"/>
      <c r="AM141" s="8"/>
      <c r="AN141" s="8"/>
      <c r="AO141" s="9"/>
      <c r="AR141" s="4" t="s">
        <v>330</v>
      </c>
      <c r="AS141" s="5"/>
      <c r="AT141" s="5"/>
      <c r="AU141" s="5"/>
      <c r="AV141" s="5"/>
      <c r="AW141" s="5"/>
      <c r="AX141" s="5"/>
      <c r="AY141" s="5"/>
      <c r="AZ141" s="5"/>
      <c r="BA141" s="6"/>
      <c r="BP141" s="7"/>
      <c r="BQ141" s="8"/>
      <c r="BR141" s="73"/>
      <c r="BS141" s="103"/>
      <c r="BT141" s="103"/>
      <c r="BU141" s="103"/>
      <c r="BV141" s="103"/>
      <c r="BW141" s="104"/>
      <c r="BX141" s="104"/>
      <c r="BY141" s="104"/>
    </row>
    <row r="142" spans="32:77" ht="15" hidden="1" customHeight="1" x14ac:dyDescent="0.2">
      <c r="AF142" s="4" t="s">
        <v>130</v>
      </c>
      <c r="AG142" s="5"/>
      <c r="AH142" s="5"/>
      <c r="AI142" s="5"/>
      <c r="AJ142" s="5"/>
      <c r="AK142" s="5"/>
      <c r="AL142" s="5"/>
      <c r="AM142" s="5"/>
      <c r="AN142" s="5"/>
      <c r="AO142" s="6"/>
      <c r="AR142" s="7" t="s">
        <v>273</v>
      </c>
      <c r="AS142" s="8"/>
      <c r="AT142" s="8"/>
      <c r="AU142" s="8"/>
      <c r="AV142" s="8"/>
      <c r="AW142" s="8"/>
      <c r="AX142" s="8"/>
      <c r="AY142" s="8"/>
      <c r="AZ142" s="8"/>
      <c r="BA142" s="9"/>
      <c r="BP142" s="7"/>
      <c r="BQ142" s="8"/>
      <c r="BR142" s="73"/>
      <c r="BS142" s="103"/>
      <c r="BT142" s="103"/>
      <c r="BU142" s="103"/>
      <c r="BV142" s="103"/>
      <c r="BW142" s="104"/>
      <c r="BX142" s="104"/>
      <c r="BY142" s="104"/>
    </row>
    <row r="143" spans="32:77" ht="15" hidden="1" customHeight="1" x14ac:dyDescent="0.2">
      <c r="AF143" s="7" t="s">
        <v>369</v>
      </c>
      <c r="AG143" s="8"/>
      <c r="AH143" s="8"/>
      <c r="AI143" s="5"/>
      <c r="AJ143" s="5"/>
      <c r="AK143" s="5"/>
      <c r="AL143" s="5"/>
      <c r="AM143" s="5"/>
      <c r="AN143" s="5"/>
      <c r="AO143" s="6"/>
      <c r="AR143" s="7" t="s">
        <v>274</v>
      </c>
      <c r="AS143" s="8"/>
      <c r="AT143" s="8"/>
      <c r="AU143" s="8"/>
      <c r="AV143" s="8"/>
      <c r="AW143" s="8"/>
      <c r="AX143" s="8"/>
      <c r="AY143" s="8"/>
      <c r="AZ143" s="8"/>
      <c r="BA143" s="9"/>
      <c r="BP143" s="7"/>
      <c r="BQ143" s="8"/>
      <c r="BR143" s="73"/>
      <c r="BS143" s="103"/>
      <c r="BT143" s="103"/>
      <c r="BU143" s="103"/>
      <c r="BV143" s="103"/>
      <c r="BW143" s="104"/>
      <c r="BX143" s="104"/>
      <c r="BY143" s="104"/>
    </row>
    <row r="144" spans="32:77" ht="15" hidden="1" customHeight="1" x14ac:dyDescent="0.2">
      <c r="AF144" s="7" t="s">
        <v>370</v>
      </c>
      <c r="AG144" s="8"/>
      <c r="AH144" s="8"/>
      <c r="AI144" s="5"/>
      <c r="AJ144" s="5"/>
      <c r="AK144" s="5"/>
      <c r="AL144" s="5"/>
      <c r="AM144" s="5"/>
      <c r="AN144" s="5"/>
      <c r="AO144" s="6"/>
      <c r="AR144" s="7" t="s">
        <v>275</v>
      </c>
      <c r="AS144" s="8"/>
      <c r="AT144" s="8"/>
      <c r="AU144" s="8"/>
      <c r="AV144" s="8"/>
      <c r="AW144" s="8"/>
      <c r="AX144" s="8"/>
      <c r="AY144" s="8"/>
      <c r="AZ144" s="8"/>
      <c r="BA144" s="9"/>
    </row>
    <row r="145" spans="32:77" ht="15" hidden="1" customHeight="1" x14ac:dyDescent="0.2">
      <c r="AF145" s="4" t="s">
        <v>160</v>
      </c>
      <c r="AG145" s="5"/>
      <c r="AH145" s="5"/>
      <c r="AI145" s="5"/>
      <c r="AJ145" s="5"/>
      <c r="AK145" s="5"/>
      <c r="AL145" s="5"/>
      <c r="AM145" s="5"/>
      <c r="AN145" s="5"/>
      <c r="AO145" s="6"/>
      <c r="AR145" s="7" t="s">
        <v>277</v>
      </c>
      <c r="AS145" s="8"/>
      <c r="AT145" s="8"/>
      <c r="AU145" s="8"/>
      <c r="AV145" s="8"/>
      <c r="AW145" s="8"/>
      <c r="AX145" s="8"/>
      <c r="AY145" s="8"/>
      <c r="AZ145" s="8"/>
      <c r="BA145" s="9"/>
      <c r="BP145" s="227" t="s">
        <v>652</v>
      </c>
      <c r="BQ145" s="228"/>
      <c r="BR145" s="228"/>
      <c r="BS145" s="228"/>
      <c r="BT145" s="228"/>
      <c r="BU145" s="228"/>
      <c r="BV145" s="228"/>
      <c r="BW145" s="228"/>
      <c r="BX145" s="228"/>
      <c r="BY145" s="229"/>
    </row>
    <row r="146" spans="32:77" ht="15" hidden="1" customHeight="1" x14ac:dyDescent="0.2">
      <c r="AF146" s="7" t="s">
        <v>371</v>
      </c>
      <c r="AG146" s="8"/>
      <c r="AH146" s="8"/>
      <c r="AI146" s="5"/>
      <c r="AJ146" s="5"/>
      <c r="AK146" s="5"/>
      <c r="AL146" s="5"/>
      <c r="AM146" s="5"/>
      <c r="AN146" s="5"/>
      <c r="AO146" s="6"/>
      <c r="AR146" s="7" t="s">
        <v>278</v>
      </c>
      <c r="AS146" s="8"/>
      <c r="AT146" s="8"/>
      <c r="AU146" s="8"/>
      <c r="AV146" s="8"/>
      <c r="AW146" s="8"/>
      <c r="AX146" s="8"/>
      <c r="AY146" s="8"/>
      <c r="AZ146" s="8"/>
      <c r="BA146" s="9"/>
      <c r="BP146" s="7"/>
      <c r="BQ146" s="8"/>
      <c r="BR146" s="9" t="s">
        <v>569</v>
      </c>
      <c r="BS146" s="16">
        <v>2</v>
      </c>
      <c r="BT146" s="16">
        <v>3</v>
      </c>
      <c r="BU146" s="16">
        <v>4</v>
      </c>
      <c r="BV146" s="16">
        <v>5</v>
      </c>
      <c r="BW146" s="16">
        <v>6</v>
      </c>
      <c r="BX146" s="16">
        <v>7</v>
      </c>
      <c r="BY146" s="16">
        <v>8</v>
      </c>
    </row>
    <row r="147" spans="32:77" ht="15" hidden="1" customHeight="1" x14ac:dyDescent="0.2">
      <c r="AF147" s="4" t="s">
        <v>162</v>
      </c>
      <c r="AG147" s="5"/>
      <c r="AH147" s="5"/>
      <c r="AI147" s="8"/>
      <c r="AJ147" s="8"/>
      <c r="AK147" s="8"/>
      <c r="AL147" s="8"/>
      <c r="AM147" s="8"/>
      <c r="AN147" s="8"/>
      <c r="AO147" s="9"/>
      <c r="AR147" s="7" t="s">
        <v>279</v>
      </c>
      <c r="AS147" s="8"/>
      <c r="AT147" s="8"/>
      <c r="AU147" s="8"/>
      <c r="AV147" s="8"/>
      <c r="AW147" s="8"/>
      <c r="AX147" s="8"/>
      <c r="AY147" s="8"/>
      <c r="AZ147" s="8"/>
      <c r="BA147" s="9"/>
      <c r="BP147" s="99"/>
      <c r="BQ147" s="18"/>
      <c r="BR147" s="100"/>
      <c r="BS147" s="103"/>
      <c r="BT147" s="103"/>
      <c r="BU147" s="103"/>
      <c r="BV147" s="103"/>
      <c r="BW147" s="103"/>
      <c r="BX147" s="103"/>
      <c r="BY147" s="103"/>
    </row>
    <row r="148" spans="32:77" ht="15" hidden="1" customHeight="1" x14ac:dyDescent="0.2">
      <c r="AF148" s="4" t="s">
        <v>164</v>
      </c>
      <c r="AG148" s="5"/>
      <c r="AH148" s="5"/>
      <c r="AI148" s="8"/>
      <c r="AJ148" s="8"/>
      <c r="AK148" s="8"/>
      <c r="AL148" s="8"/>
      <c r="AM148" s="8"/>
      <c r="AN148" s="8"/>
      <c r="AO148" s="9"/>
      <c r="AR148" s="7" t="s">
        <v>281</v>
      </c>
      <c r="AS148" s="8"/>
      <c r="AT148" s="8"/>
      <c r="AU148" s="8"/>
      <c r="AV148" s="8"/>
      <c r="AW148" s="8"/>
      <c r="AX148" s="8"/>
      <c r="AY148" s="8"/>
      <c r="AZ148" s="8"/>
      <c r="BA148" s="9"/>
      <c r="BP148" s="7"/>
      <c r="BQ148" s="8"/>
      <c r="BR148" s="73"/>
      <c r="BS148" s="103"/>
      <c r="BT148" s="103"/>
      <c r="BU148" s="103"/>
      <c r="BV148" s="103"/>
      <c r="BW148" s="103"/>
      <c r="BX148" s="103"/>
      <c r="BY148" s="103"/>
    </row>
    <row r="149" spans="32:77" ht="15" hidden="1" customHeight="1" x14ac:dyDescent="0.2">
      <c r="AF149" s="4" t="s">
        <v>132</v>
      </c>
      <c r="AG149" s="5"/>
      <c r="AH149" s="5"/>
      <c r="AI149" s="5"/>
      <c r="AJ149" s="5"/>
      <c r="AK149" s="5"/>
      <c r="AL149" s="5"/>
      <c r="AM149" s="5"/>
      <c r="AN149" s="5"/>
      <c r="AO149" s="6"/>
      <c r="AR149" s="7" t="s">
        <v>282</v>
      </c>
      <c r="AS149" s="8"/>
      <c r="AT149" s="8"/>
      <c r="AU149" s="8"/>
      <c r="AV149" s="8"/>
      <c r="AW149" s="8"/>
      <c r="AX149" s="8"/>
      <c r="AY149" s="8"/>
      <c r="AZ149" s="8"/>
      <c r="BA149" s="9"/>
      <c r="BP149" s="7"/>
      <c r="BQ149" s="8"/>
      <c r="BR149" s="73"/>
      <c r="BS149" s="105"/>
      <c r="BT149" s="105"/>
      <c r="BU149" s="105"/>
      <c r="BV149" s="105"/>
      <c r="BW149" s="105"/>
      <c r="BX149" s="105"/>
      <c r="BY149" s="105"/>
    </row>
    <row r="150" spans="32:77" ht="15" hidden="1" customHeight="1" x14ac:dyDescent="0.2">
      <c r="AF150" s="4" t="s">
        <v>167</v>
      </c>
      <c r="AG150" s="5"/>
      <c r="AH150" s="5"/>
      <c r="AI150" s="8"/>
      <c r="AJ150" s="8"/>
      <c r="AK150" s="8"/>
      <c r="AL150" s="8"/>
      <c r="AM150" s="8"/>
      <c r="AN150" s="8"/>
      <c r="AO150" s="9"/>
      <c r="AR150" s="7" t="s">
        <v>283</v>
      </c>
      <c r="AS150" s="8"/>
      <c r="AT150" s="8"/>
      <c r="AU150" s="8"/>
      <c r="AV150" s="8"/>
      <c r="AW150" s="8"/>
      <c r="AX150" s="8"/>
      <c r="AY150" s="8"/>
      <c r="AZ150" s="8"/>
      <c r="BA150" s="9"/>
      <c r="BP150" s="7"/>
      <c r="BQ150" s="8"/>
      <c r="BR150" s="73"/>
      <c r="BS150" s="105"/>
      <c r="BT150" s="105"/>
      <c r="BU150" s="105"/>
      <c r="BV150" s="105"/>
      <c r="BW150" s="105"/>
      <c r="BX150" s="105"/>
      <c r="BY150" s="105"/>
    </row>
    <row r="151" spans="32:77" ht="15" hidden="1" customHeight="1" x14ac:dyDescent="0.2">
      <c r="AF151" s="4" t="s">
        <v>169</v>
      </c>
      <c r="AG151" s="5"/>
      <c r="AH151" s="5"/>
      <c r="AI151" s="5"/>
      <c r="AJ151" s="5"/>
      <c r="AK151" s="5"/>
      <c r="AL151" s="5"/>
      <c r="AM151" s="5"/>
      <c r="AN151" s="5"/>
      <c r="AO151" s="6"/>
      <c r="AR151" s="7" t="s">
        <v>284</v>
      </c>
      <c r="AS151" s="8"/>
      <c r="AT151" s="8"/>
      <c r="AU151" s="8"/>
      <c r="AV151" s="8"/>
      <c r="AW151" s="8"/>
      <c r="AX151" s="8"/>
      <c r="AY151" s="8"/>
      <c r="AZ151" s="8"/>
      <c r="BA151" s="9"/>
      <c r="BP151" s="7"/>
      <c r="BQ151" s="8"/>
      <c r="BR151" s="73"/>
      <c r="BS151" s="105"/>
      <c r="BT151" s="105"/>
      <c r="BU151" s="105"/>
      <c r="BV151" s="105"/>
      <c r="BW151" s="105"/>
      <c r="BX151" s="105"/>
      <c r="BY151" s="105"/>
    </row>
    <row r="152" spans="32:77" ht="15" hidden="1" customHeight="1" x14ac:dyDescent="0.2">
      <c r="AF152" s="7" t="s">
        <v>372</v>
      </c>
      <c r="AG152" s="8"/>
      <c r="AH152" s="8"/>
      <c r="AI152" s="5"/>
      <c r="AJ152" s="5"/>
      <c r="AK152" s="5"/>
      <c r="AL152" s="5"/>
      <c r="AM152" s="5"/>
      <c r="AN152" s="5"/>
      <c r="AO152" s="6"/>
      <c r="AR152" s="7" t="s">
        <v>285</v>
      </c>
      <c r="AS152" s="8"/>
      <c r="AT152" s="8"/>
      <c r="AU152" s="8"/>
      <c r="AV152" s="8"/>
      <c r="AW152" s="8"/>
      <c r="AX152" s="8"/>
      <c r="AY152" s="8"/>
      <c r="AZ152" s="8"/>
      <c r="BA152" s="9"/>
      <c r="BP152" s="7"/>
      <c r="BQ152" s="8"/>
      <c r="BR152" s="73"/>
      <c r="BS152" s="105"/>
      <c r="BT152" s="105"/>
      <c r="BU152" s="105"/>
      <c r="BV152" s="105"/>
      <c r="BW152" s="105"/>
      <c r="BX152" s="105"/>
      <c r="BY152" s="105"/>
    </row>
    <row r="153" spans="32:77" ht="15" hidden="1" customHeight="1" x14ac:dyDescent="0.2">
      <c r="AF153" s="4" t="s">
        <v>171</v>
      </c>
      <c r="AG153" s="5"/>
      <c r="AH153" s="5"/>
      <c r="AI153" s="5"/>
      <c r="AJ153" s="5"/>
      <c r="AK153" s="5"/>
      <c r="AL153" s="5"/>
      <c r="AM153" s="5"/>
      <c r="AN153" s="5"/>
      <c r="AO153" s="6"/>
      <c r="AR153" s="7" t="s">
        <v>286</v>
      </c>
      <c r="AS153" s="8"/>
      <c r="AT153" s="8"/>
      <c r="AU153" s="8"/>
      <c r="AV153" s="8"/>
      <c r="AW153" s="8"/>
      <c r="AX153" s="8"/>
      <c r="AY153" s="8"/>
      <c r="AZ153" s="8"/>
      <c r="BA153" s="9"/>
      <c r="BP153" s="7"/>
      <c r="BQ153" s="8"/>
      <c r="BR153" s="73"/>
      <c r="BS153" s="105"/>
      <c r="BT153" s="105"/>
      <c r="BU153" s="105"/>
      <c r="BV153" s="105"/>
      <c r="BW153" s="105"/>
      <c r="BX153" s="105"/>
      <c r="BY153" s="105"/>
    </row>
    <row r="154" spans="32:77" ht="15" hidden="1" customHeight="1" x14ac:dyDescent="0.2">
      <c r="AF154" s="4" t="s">
        <v>173</v>
      </c>
      <c r="AG154" s="5"/>
      <c r="AH154" s="5"/>
      <c r="AI154" s="5"/>
      <c r="AJ154" s="5"/>
      <c r="AK154" s="5"/>
      <c r="AL154" s="5"/>
      <c r="AM154" s="5"/>
      <c r="AN154" s="5"/>
      <c r="AO154" s="6"/>
      <c r="AR154" s="7" t="s">
        <v>288</v>
      </c>
      <c r="AS154" s="8"/>
      <c r="AT154" s="8"/>
      <c r="AU154" s="8"/>
      <c r="AV154" s="8"/>
      <c r="AW154" s="8"/>
      <c r="AX154" s="8"/>
      <c r="AY154" s="8"/>
      <c r="AZ154" s="8"/>
      <c r="BA154" s="9"/>
      <c r="BP154" s="7"/>
      <c r="BQ154" s="8"/>
      <c r="BR154" s="73"/>
      <c r="BS154" s="105"/>
      <c r="BT154" s="105"/>
      <c r="BU154" s="105"/>
      <c r="BV154" s="105"/>
      <c r="BW154" s="105"/>
      <c r="BX154" s="105"/>
      <c r="BY154" s="105"/>
    </row>
    <row r="155" spans="32:77" ht="15" hidden="1" customHeight="1" x14ac:dyDescent="0.2">
      <c r="AF155" s="4" t="s">
        <v>133</v>
      </c>
      <c r="AG155" s="5"/>
      <c r="AH155" s="5"/>
      <c r="AI155" s="5"/>
      <c r="AJ155" s="5"/>
      <c r="AK155" s="5"/>
      <c r="AL155" s="5"/>
      <c r="AM155" s="5"/>
      <c r="AN155" s="5"/>
      <c r="AO155" s="6"/>
      <c r="BP155" s="7"/>
      <c r="BQ155" s="8"/>
      <c r="BR155" s="73"/>
      <c r="BS155" s="103"/>
      <c r="BT155" s="103"/>
      <c r="BU155" s="103"/>
      <c r="BV155" s="103"/>
      <c r="BW155" s="103"/>
      <c r="BX155" s="103"/>
      <c r="BY155" s="103"/>
    </row>
    <row r="156" spans="32:77" ht="15" hidden="1" customHeight="1" x14ac:dyDescent="0.2">
      <c r="AF156" s="4" t="s">
        <v>176</v>
      </c>
      <c r="AG156" s="5"/>
      <c r="AH156" s="5"/>
      <c r="AI156" s="8"/>
      <c r="AJ156" s="8"/>
      <c r="AK156" s="8"/>
      <c r="AL156" s="8"/>
      <c r="AM156" s="8"/>
      <c r="AN156" s="8"/>
      <c r="AO156" s="9"/>
      <c r="AR156" s="227" t="s">
        <v>290</v>
      </c>
      <c r="AS156" s="228"/>
      <c r="AT156" s="228"/>
      <c r="AU156" s="228"/>
      <c r="AV156" s="228"/>
      <c r="AW156" s="228"/>
      <c r="AX156" s="228"/>
      <c r="AY156" s="228"/>
      <c r="AZ156" s="228"/>
      <c r="BA156" s="229"/>
      <c r="BP156" s="7"/>
      <c r="BQ156" s="8"/>
      <c r="BR156" s="73"/>
      <c r="BS156" s="103"/>
      <c r="BT156" s="103"/>
      <c r="BU156" s="103"/>
      <c r="BV156" s="103"/>
      <c r="BW156" s="103"/>
      <c r="BX156" s="103"/>
      <c r="BY156" s="103"/>
    </row>
    <row r="157" spans="32:77" ht="15" hidden="1" customHeight="1" x14ac:dyDescent="0.2">
      <c r="AF157" s="7" t="s">
        <v>373</v>
      </c>
      <c r="AG157" s="8"/>
      <c r="AH157" s="8"/>
      <c r="AI157" s="5"/>
      <c r="AJ157" s="5"/>
      <c r="AK157" s="5"/>
      <c r="AL157" s="5"/>
      <c r="AM157" s="5"/>
      <c r="AN157" s="5"/>
      <c r="AO157" s="6"/>
      <c r="AR157" s="7" t="str">
        <f>VLOOKUP(E23,AR12:AR154,TRUE)</f>
        <v>Mayen-Koblenz</v>
      </c>
      <c r="AS157" s="8"/>
      <c r="AT157" s="8"/>
      <c r="AU157" s="8"/>
      <c r="AV157" s="8"/>
      <c r="AW157" s="8"/>
      <c r="AX157" s="8"/>
      <c r="AY157" s="8"/>
      <c r="AZ157" s="8"/>
      <c r="BA157" s="9"/>
      <c r="BP157" s="7"/>
      <c r="BQ157" s="8"/>
      <c r="BR157" s="73"/>
      <c r="BS157" s="103"/>
      <c r="BT157" s="103"/>
      <c r="BU157" s="103"/>
      <c r="BV157" s="103"/>
      <c r="BW157" s="103"/>
      <c r="BX157" s="103"/>
      <c r="BY157" s="103"/>
    </row>
    <row r="158" spans="32:77" ht="15" hidden="1" customHeight="1" x14ac:dyDescent="0.2">
      <c r="AF158" s="4" t="s">
        <v>178</v>
      </c>
      <c r="AG158" s="5"/>
      <c r="AH158" s="5"/>
      <c r="AI158" s="5"/>
      <c r="AJ158" s="5"/>
      <c r="AK158" s="5"/>
      <c r="AL158" s="5"/>
      <c r="AM158" s="5"/>
      <c r="AN158" s="5"/>
      <c r="AO158" s="6"/>
      <c r="BP158" s="7"/>
      <c r="BQ158" s="8"/>
      <c r="BR158" s="73"/>
      <c r="BS158" s="103"/>
      <c r="BT158" s="103"/>
      <c r="BU158" s="103"/>
      <c r="BV158" s="103"/>
      <c r="BW158" s="103"/>
      <c r="BX158" s="103"/>
      <c r="BY158" s="103"/>
    </row>
    <row r="159" spans="32:77" ht="15" hidden="1" customHeight="1" x14ac:dyDescent="0.2">
      <c r="AF159" s="4" t="s">
        <v>180</v>
      </c>
      <c r="AG159" s="5"/>
      <c r="AH159" s="5"/>
      <c r="AI159" s="5"/>
      <c r="AJ159" s="5"/>
      <c r="AK159" s="5"/>
      <c r="AL159" s="5"/>
      <c r="AM159" s="5"/>
      <c r="AN159" s="5"/>
      <c r="AO159" s="6"/>
      <c r="BP159" s="7"/>
      <c r="BQ159" s="8"/>
      <c r="BR159" s="100"/>
      <c r="BS159" s="103"/>
      <c r="BT159" s="103"/>
      <c r="BU159" s="103"/>
      <c r="BV159" s="103"/>
      <c r="BW159" s="103"/>
      <c r="BX159" s="103"/>
      <c r="BY159" s="103"/>
    </row>
    <row r="160" spans="32:77" ht="15" hidden="1" customHeight="1" x14ac:dyDescent="0.2">
      <c r="AF160" s="4" t="s">
        <v>182</v>
      </c>
      <c r="AG160" s="5"/>
      <c r="AH160" s="5"/>
      <c r="AI160" s="5"/>
      <c r="AJ160" s="5"/>
      <c r="AK160" s="5"/>
      <c r="AL160" s="5"/>
      <c r="AM160" s="5"/>
      <c r="AN160" s="5"/>
      <c r="AO160" s="6"/>
      <c r="BP160" s="7"/>
      <c r="BQ160" s="8"/>
      <c r="BR160" s="73"/>
      <c r="BS160" s="103"/>
      <c r="BT160" s="103"/>
      <c r="BU160" s="103"/>
      <c r="BV160" s="103"/>
      <c r="BW160" s="103"/>
      <c r="BX160" s="103"/>
      <c r="BY160" s="103"/>
    </row>
    <row r="161" spans="32:77" ht="15" hidden="1" customHeight="1" x14ac:dyDescent="0.2">
      <c r="AF161" s="4" t="s">
        <v>134</v>
      </c>
      <c r="AG161" s="5"/>
      <c r="AH161" s="5"/>
      <c r="AI161" s="8"/>
      <c r="AJ161" s="8"/>
      <c r="AK161" s="8"/>
      <c r="AL161" s="8"/>
      <c r="AM161" s="8"/>
      <c r="AN161" s="8"/>
      <c r="AO161" s="9"/>
      <c r="BP161" s="7"/>
      <c r="BQ161" s="8"/>
      <c r="BR161" s="73"/>
      <c r="BS161" s="103"/>
      <c r="BT161" s="103"/>
      <c r="BU161" s="103"/>
      <c r="BV161" s="103"/>
      <c r="BW161" s="103"/>
      <c r="BX161" s="103"/>
      <c r="BY161" s="103"/>
    </row>
    <row r="162" spans="32:77" ht="15" hidden="1" customHeight="1" x14ac:dyDescent="0.2">
      <c r="AF162" s="4" t="s">
        <v>136</v>
      </c>
      <c r="AG162" s="5"/>
      <c r="AH162" s="5"/>
      <c r="AI162" s="5"/>
      <c r="AJ162" s="5"/>
      <c r="AK162" s="5"/>
      <c r="AL162" s="5"/>
      <c r="AM162" s="5"/>
      <c r="AN162" s="5"/>
      <c r="AO162" s="6"/>
      <c r="BP162" s="7"/>
      <c r="BQ162" s="8"/>
      <c r="BR162" s="73"/>
      <c r="BS162" s="103"/>
      <c r="BT162" s="103"/>
      <c r="BU162" s="103"/>
      <c r="BV162" s="103"/>
      <c r="BW162" s="103"/>
      <c r="BX162" s="103"/>
      <c r="BY162" s="103"/>
    </row>
    <row r="163" spans="32:77" ht="15" hidden="1" customHeight="1" x14ac:dyDescent="0.2">
      <c r="AF163" s="4" t="s">
        <v>137</v>
      </c>
      <c r="AG163" s="5"/>
      <c r="AH163" s="5"/>
      <c r="AI163" s="5"/>
      <c r="AJ163" s="5"/>
      <c r="AK163" s="5"/>
      <c r="AL163" s="5"/>
      <c r="AM163" s="5"/>
      <c r="AN163" s="5"/>
      <c r="AO163" s="6"/>
      <c r="BR163" s="100" t="s">
        <v>666</v>
      </c>
      <c r="BS163" s="103">
        <v>1.2</v>
      </c>
      <c r="BT163" s="103">
        <v>1.6</v>
      </c>
      <c r="BU163" s="103">
        <v>1.8</v>
      </c>
      <c r="BV163" s="103">
        <v>2.1</v>
      </c>
      <c r="BW163" s="103">
        <v>2.2999999999999998</v>
      </c>
      <c r="BX163" s="103">
        <v>2.6</v>
      </c>
      <c r="BY163" s="103">
        <v>2.8</v>
      </c>
    </row>
    <row r="164" spans="32:77" ht="15" hidden="1" customHeight="1" x14ac:dyDescent="0.2">
      <c r="AF164" s="4" t="s">
        <v>138</v>
      </c>
      <c r="AG164" s="5"/>
      <c r="AH164" s="5"/>
      <c r="AI164" s="5"/>
      <c r="AJ164" s="5"/>
      <c r="AK164" s="5"/>
      <c r="AL164" s="5"/>
      <c r="AM164" s="5"/>
      <c r="AN164" s="5"/>
      <c r="AO164" s="6"/>
      <c r="BR164" s="73" t="s">
        <v>667</v>
      </c>
      <c r="BS164" s="103">
        <v>2.2999999999999998</v>
      </c>
      <c r="BT164" s="103">
        <v>2.9</v>
      </c>
      <c r="BU164" s="103">
        <v>3.3</v>
      </c>
      <c r="BV164" s="103">
        <v>3.8</v>
      </c>
      <c r="BW164" s="103">
        <v>4.2</v>
      </c>
      <c r="BX164" s="103">
        <v>4.5999999999999996</v>
      </c>
      <c r="BY164" s="103">
        <v>4.7</v>
      </c>
    </row>
    <row r="165" spans="32:77" ht="15" hidden="1" customHeight="1" x14ac:dyDescent="0.2">
      <c r="AF165" s="4" t="s">
        <v>140</v>
      </c>
      <c r="AG165" s="5"/>
      <c r="AH165" s="5"/>
      <c r="AI165" s="5"/>
      <c r="AJ165" s="5"/>
      <c r="AK165" s="5"/>
      <c r="AL165" s="5"/>
      <c r="AM165" s="5"/>
      <c r="AN165" s="5"/>
      <c r="AO165" s="6"/>
      <c r="BR165" s="73" t="s">
        <v>672</v>
      </c>
      <c r="BS165" s="105">
        <v>3.4</v>
      </c>
      <c r="BT165" s="105">
        <v>4.2</v>
      </c>
      <c r="BU165" s="105">
        <v>4.9000000000000004</v>
      </c>
      <c r="BV165" s="105">
        <v>5.5</v>
      </c>
      <c r="BW165" s="105">
        <v>6.1</v>
      </c>
      <c r="BX165" s="105">
        <v>6.6</v>
      </c>
      <c r="BY165" s="105">
        <v>7</v>
      </c>
    </row>
    <row r="166" spans="32:77" ht="15" hidden="1" customHeight="1" x14ac:dyDescent="0.2">
      <c r="AF166" s="4" t="s">
        <v>189</v>
      </c>
      <c r="AG166" s="5"/>
      <c r="AH166" s="5"/>
      <c r="AI166" s="5"/>
      <c r="AJ166" s="5"/>
      <c r="AK166" s="5"/>
      <c r="AL166" s="5"/>
      <c r="AM166" s="5"/>
      <c r="AN166" s="5"/>
      <c r="AO166" s="6"/>
      <c r="BR166" s="73" t="s">
        <v>668</v>
      </c>
      <c r="BS166" s="103">
        <v>4</v>
      </c>
      <c r="BT166" s="103">
        <v>5</v>
      </c>
      <c r="BU166" s="103">
        <v>6</v>
      </c>
      <c r="BV166" s="103">
        <v>6.8</v>
      </c>
      <c r="BW166" s="103">
        <v>7.5</v>
      </c>
      <c r="BX166" s="103">
        <v>8.3000000000000007</v>
      </c>
      <c r="BY166" s="103">
        <v>8.9</v>
      </c>
    </row>
    <row r="167" spans="32:77" ht="15" customHeight="1" x14ac:dyDescent="0.2">
      <c r="AF167" s="7" t="s">
        <v>374</v>
      </c>
      <c r="AG167" s="8"/>
      <c r="AH167" s="8"/>
      <c r="AI167" s="5"/>
      <c r="AJ167" s="5"/>
      <c r="AK167" s="5"/>
      <c r="AL167" s="5"/>
      <c r="AM167" s="5"/>
      <c r="AN167" s="5"/>
      <c r="AO167" s="6"/>
      <c r="BP167" s="27"/>
      <c r="BQ167" s="27"/>
      <c r="BR167" s="27"/>
      <c r="BS167" s="27"/>
      <c r="BT167" s="27"/>
      <c r="BU167" s="27"/>
      <c r="BV167" s="27"/>
      <c r="BW167" s="27"/>
      <c r="BX167" s="27"/>
      <c r="BY167" s="27"/>
    </row>
    <row r="168" spans="32:77" ht="15" customHeight="1" x14ac:dyDescent="0.2">
      <c r="AF168" s="4" t="s">
        <v>142</v>
      </c>
      <c r="AG168" s="5"/>
      <c r="AH168" s="5"/>
      <c r="AI168" s="5"/>
      <c r="AJ168" s="5"/>
      <c r="AK168" s="5"/>
      <c r="AL168" s="5"/>
      <c r="AM168" s="5"/>
      <c r="AN168" s="5"/>
      <c r="AO168" s="6"/>
      <c r="BP168" s="227" t="s">
        <v>653</v>
      </c>
      <c r="BQ168" s="228"/>
      <c r="BR168" s="228"/>
      <c r="BS168" s="228"/>
      <c r="BT168" s="228"/>
      <c r="BU168" s="228"/>
      <c r="BV168" s="228"/>
      <c r="BW168" s="228"/>
      <c r="BX168" s="228"/>
      <c r="BY168" s="229"/>
    </row>
    <row r="169" spans="32:77" ht="15" customHeight="1" x14ac:dyDescent="0.2">
      <c r="AF169" s="4" t="s">
        <v>143</v>
      </c>
      <c r="AG169" s="5"/>
      <c r="AH169" s="5"/>
      <c r="AI169" s="5"/>
      <c r="AJ169" s="5"/>
      <c r="AK169" s="5"/>
      <c r="AL169" s="5"/>
      <c r="AM169" s="5"/>
      <c r="AN169" s="5"/>
      <c r="AO169" s="6"/>
      <c r="BP169" s="7"/>
      <c r="BQ169" s="8"/>
      <c r="BR169" s="9" t="s">
        <v>569</v>
      </c>
      <c r="BS169" s="16">
        <v>2</v>
      </c>
      <c r="BT169" s="16">
        <v>3</v>
      </c>
      <c r="BU169" s="16">
        <v>4</v>
      </c>
      <c r="BV169" s="16">
        <v>5</v>
      </c>
      <c r="BW169" s="16">
        <v>6</v>
      </c>
      <c r="BX169" s="16">
        <v>7</v>
      </c>
      <c r="BY169" s="16">
        <v>8</v>
      </c>
    </row>
    <row r="170" spans="32:77" ht="15" customHeight="1" x14ac:dyDescent="0.2">
      <c r="AF170" s="7" t="s">
        <v>375</v>
      </c>
      <c r="AG170" s="8"/>
      <c r="AH170" s="8"/>
      <c r="AI170" s="5"/>
      <c r="AJ170" s="5"/>
      <c r="AK170" s="5"/>
      <c r="AL170" s="5"/>
      <c r="AM170" s="5"/>
      <c r="AN170" s="5"/>
      <c r="AO170" s="6"/>
      <c r="BP170" s="7"/>
      <c r="BQ170" s="8"/>
      <c r="BR170" s="73"/>
      <c r="BS170" s="103"/>
      <c r="BT170" s="103"/>
      <c r="BU170" s="103"/>
      <c r="BV170" s="103"/>
      <c r="BW170" s="103"/>
      <c r="BX170" s="103"/>
      <c r="BY170" s="103"/>
    </row>
    <row r="171" spans="32:77" ht="15" customHeight="1" x14ac:dyDescent="0.2">
      <c r="AF171" s="4" t="s">
        <v>193</v>
      </c>
      <c r="AG171" s="5"/>
      <c r="AH171" s="5"/>
      <c r="AI171" s="8"/>
      <c r="AJ171" s="8"/>
      <c r="AK171" s="8"/>
      <c r="AL171" s="8"/>
      <c r="AM171" s="8"/>
      <c r="AN171" s="8"/>
      <c r="AO171" s="9"/>
      <c r="BP171" s="7"/>
      <c r="BQ171" s="8"/>
      <c r="BR171" s="73"/>
      <c r="BS171" s="103"/>
      <c r="BT171" s="103"/>
      <c r="BU171" s="103"/>
      <c r="BV171" s="103"/>
      <c r="BW171" s="103"/>
      <c r="BX171" s="103"/>
      <c r="BY171" s="103"/>
    </row>
    <row r="172" spans="32:77" ht="15" customHeight="1" x14ac:dyDescent="0.2">
      <c r="AF172" s="4" t="s">
        <v>195</v>
      </c>
      <c r="AG172" s="5"/>
      <c r="AH172" s="5"/>
      <c r="AI172" s="5"/>
      <c r="AJ172" s="5"/>
      <c r="AK172" s="5"/>
      <c r="AL172" s="5"/>
      <c r="AM172" s="5"/>
      <c r="AN172" s="5"/>
      <c r="AO172" s="6"/>
      <c r="BP172" s="7"/>
      <c r="BQ172" s="8"/>
      <c r="BR172" s="73"/>
      <c r="BS172" s="103"/>
      <c r="BT172" s="103"/>
      <c r="BU172" s="103"/>
      <c r="BV172" s="103"/>
      <c r="BW172" s="103"/>
      <c r="BX172" s="103"/>
      <c r="BY172" s="103"/>
    </row>
    <row r="173" spans="32:77" ht="15" customHeight="1" x14ac:dyDescent="0.2">
      <c r="AF173" s="4" t="s">
        <v>197</v>
      </c>
      <c r="AG173" s="5"/>
      <c r="AH173" s="5"/>
      <c r="AI173" s="5"/>
      <c r="AJ173" s="5"/>
      <c r="AK173" s="5"/>
      <c r="AL173" s="5"/>
      <c r="AM173" s="5"/>
      <c r="AN173" s="5"/>
      <c r="AO173" s="6"/>
      <c r="BP173" s="7"/>
      <c r="BQ173" s="8"/>
      <c r="BR173" s="73"/>
      <c r="BS173" s="103"/>
      <c r="BT173" s="103"/>
      <c r="BU173" s="103"/>
      <c r="BV173" s="103"/>
      <c r="BW173" s="103"/>
      <c r="BX173" s="103"/>
      <c r="BY173" s="103"/>
    </row>
    <row r="174" spans="32:77" ht="15" customHeight="1" x14ac:dyDescent="0.2">
      <c r="AF174" s="4" t="s">
        <v>199</v>
      </c>
      <c r="AG174" s="5"/>
      <c r="AH174" s="5"/>
      <c r="AI174" s="8"/>
      <c r="AJ174" s="8"/>
      <c r="AK174" s="8"/>
      <c r="AL174" s="8"/>
      <c r="AM174" s="8"/>
      <c r="AN174" s="8"/>
      <c r="AO174" s="9"/>
      <c r="BP174" s="7"/>
      <c r="BQ174" s="8"/>
      <c r="BR174" s="73"/>
      <c r="BS174" s="103"/>
      <c r="BT174" s="103"/>
      <c r="BU174" s="103"/>
      <c r="BV174" s="103"/>
      <c r="BW174" s="103"/>
      <c r="BX174" s="103"/>
      <c r="BY174" s="103"/>
    </row>
    <row r="175" spans="32:77" ht="15" customHeight="1" x14ac:dyDescent="0.2">
      <c r="AF175" s="7" t="s">
        <v>376</v>
      </c>
      <c r="AG175" s="8"/>
      <c r="AH175" s="8"/>
      <c r="AI175" s="5"/>
      <c r="AJ175" s="5"/>
      <c r="AK175" s="5"/>
      <c r="AL175" s="5"/>
      <c r="AM175" s="5"/>
      <c r="AN175" s="5"/>
      <c r="AO175" s="6"/>
      <c r="BP175" s="7"/>
      <c r="BQ175" s="8"/>
      <c r="BR175" s="73"/>
      <c r="BS175" s="103"/>
      <c r="BT175" s="103"/>
      <c r="BU175" s="103"/>
      <c r="BV175" s="103"/>
      <c r="BW175" s="103"/>
      <c r="BX175" s="103"/>
      <c r="BY175" s="103"/>
    </row>
    <row r="176" spans="32:77" ht="15" customHeight="1" x14ac:dyDescent="0.2">
      <c r="AF176" s="4" t="s">
        <v>144</v>
      </c>
      <c r="AG176" s="5"/>
      <c r="AH176" s="5"/>
      <c r="AI176" s="5"/>
      <c r="AJ176" s="5"/>
      <c r="AK176" s="5"/>
      <c r="AL176" s="5"/>
      <c r="AM176" s="5"/>
      <c r="AN176" s="5"/>
      <c r="AO176" s="6"/>
      <c r="BP176" s="7"/>
      <c r="BQ176" s="8"/>
      <c r="BR176" s="73"/>
      <c r="BS176" s="103"/>
      <c r="BT176" s="103"/>
      <c r="BU176" s="103"/>
      <c r="BV176" s="103"/>
      <c r="BW176" s="103"/>
      <c r="BX176" s="103"/>
      <c r="BY176" s="103"/>
    </row>
    <row r="177" spans="32:79" ht="15" customHeight="1" x14ac:dyDescent="0.2">
      <c r="AF177" s="7" t="s">
        <v>377</v>
      </c>
      <c r="AG177" s="8"/>
      <c r="AH177" s="8"/>
      <c r="AI177" s="5"/>
      <c r="AJ177" s="5"/>
      <c r="AK177" s="5"/>
      <c r="AL177" s="5"/>
      <c r="AM177" s="5"/>
      <c r="AN177" s="5"/>
      <c r="AO177" s="6"/>
      <c r="BP177" s="7"/>
      <c r="BQ177" s="8"/>
      <c r="BR177" s="73"/>
      <c r="BS177" s="103"/>
      <c r="BT177" s="103"/>
      <c r="BU177" s="103"/>
      <c r="BV177" s="103"/>
      <c r="BW177" s="103"/>
      <c r="BX177" s="103"/>
      <c r="BY177" s="103"/>
    </row>
    <row r="178" spans="32:79" ht="15" customHeight="1" x14ac:dyDescent="0.2">
      <c r="AF178" s="4" t="s">
        <v>202</v>
      </c>
      <c r="AG178" s="5"/>
      <c r="AH178" s="5"/>
      <c r="AI178" s="5"/>
      <c r="AJ178" s="5"/>
      <c r="AK178" s="5"/>
      <c r="AL178" s="5"/>
      <c r="AM178" s="5"/>
      <c r="AN178" s="5"/>
      <c r="AO178" s="6"/>
      <c r="BP178" s="7"/>
      <c r="BQ178" s="8"/>
      <c r="BR178" s="73"/>
      <c r="BS178" s="103"/>
      <c r="BT178" s="103"/>
      <c r="BU178" s="103"/>
      <c r="BV178" s="103"/>
      <c r="BW178" s="103"/>
      <c r="BX178" s="103"/>
      <c r="BY178" s="103"/>
    </row>
    <row r="179" spans="32:79" ht="15" customHeight="1" x14ac:dyDescent="0.2">
      <c r="AF179" s="4" t="s">
        <v>204</v>
      </c>
      <c r="AG179" s="5"/>
      <c r="AH179" s="5"/>
      <c r="AI179" s="8"/>
      <c r="AJ179" s="8"/>
      <c r="AK179" s="8"/>
      <c r="AL179" s="8"/>
      <c r="AM179" s="8"/>
      <c r="AN179" s="8"/>
      <c r="AO179" s="9"/>
      <c r="BP179" s="7"/>
      <c r="BQ179" s="8"/>
      <c r="BR179" s="73"/>
      <c r="BS179" s="103"/>
      <c r="BT179" s="103"/>
      <c r="BU179" s="103"/>
      <c r="BV179" s="103"/>
      <c r="BW179" s="103"/>
      <c r="BX179" s="103"/>
      <c r="BY179" s="103"/>
    </row>
    <row r="180" spans="32:79" ht="15" customHeight="1" x14ac:dyDescent="0.2">
      <c r="AF180" s="4" t="s">
        <v>146</v>
      </c>
      <c r="AG180" s="5"/>
      <c r="AH180" s="5"/>
      <c r="AI180" s="5"/>
      <c r="AJ180" s="5"/>
      <c r="AK180" s="5"/>
      <c r="AL180" s="5"/>
      <c r="AM180" s="5"/>
      <c r="AN180" s="5"/>
      <c r="AO180" s="6"/>
      <c r="BP180" s="7"/>
      <c r="BQ180" s="8"/>
      <c r="BR180" s="73"/>
      <c r="BS180" s="103"/>
      <c r="BT180" s="103"/>
      <c r="BU180" s="103"/>
      <c r="BV180" s="103"/>
      <c r="BW180" s="103"/>
      <c r="BX180" s="103"/>
      <c r="BY180" s="103"/>
    </row>
    <row r="181" spans="32:79" ht="15" customHeight="1" x14ac:dyDescent="0.2">
      <c r="AF181" s="4" t="s">
        <v>148</v>
      </c>
      <c r="AG181" s="5"/>
      <c r="AH181" s="5"/>
      <c r="AI181" s="8"/>
      <c r="AJ181" s="8"/>
      <c r="AK181" s="8"/>
      <c r="AL181" s="8"/>
      <c r="AM181" s="8"/>
      <c r="AN181" s="8"/>
      <c r="AO181" s="9"/>
      <c r="BP181" s="7"/>
      <c r="BQ181" s="8"/>
      <c r="BR181" s="73"/>
      <c r="BS181" s="103"/>
      <c r="BT181" s="103"/>
      <c r="BU181" s="103"/>
      <c r="BV181" s="103"/>
      <c r="BW181" s="103"/>
      <c r="BX181" s="103"/>
      <c r="BY181" s="103"/>
    </row>
    <row r="182" spans="32:79" ht="15" customHeight="1" x14ac:dyDescent="0.2">
      <c r="AF182" s="4" t="s">
        <v>150</v>
      </c>
      <c r="AG182" s="5"/>
      <c r="AH182" s="5"/>
      <c r="AI182" s="5"/>
      <c r="AJ182" s="5"/>
      <c r="AK182" s="5"/>
      <c r="AL182" s="5"/>
      <c r="AM182" s="5"/>
      <c r="AN182" s="5"/>
      <c r="AO182" s="6"/>
      <c r="BP182" s="7"/>
      <c r="BQ182" s="8"/>
      <c r="BR182" s="100"/>
      <c r="BS182" s="103"/>
      <c r="BT182" s="103"/>
      <c r="BU182" s="103"/>
      <c r="BV182" s="103"/>
      <c r="BW182" s="103"/>
      <c r="BX182" s="103"/>
      <c r="BY182" s="103"/>
    </row>
    <row r="183" spans="32:79" ht="15" customHeight="1" x14ac:dyDescent="0.2">
      <c r="AF183" s="4" t="s">
        <v>152</v>
      </c>
      <c r="AG183" s="5"/>
      <c r="AH183" s="5"/>
      <c r="AI183" s="5"/>
      <c r="AJ183" s="5"/>
      <c r="AK183" s="5"/>
      <c r="AL183" s="5"/>
      <c r="AM183" s="5"/>
      <c r="AN183" s="5"/>
      <c r="AO183" s="6"/>
      <c r="BP183" s="7"/>
      <c r="BQ183" s="8"/>
      <c r="BR183" s="73"/>
      <c r="BS183" s="103"/>
      <c r="BT183" s="103"/>
      <c r="BU183" s="103"/>
      <c r="BV183" s="103"/>
      <c r="BW183" s="103"/>
      <c r="BX183" s="103"/>
      <c r="BY183" s="103"/>
    </row>
    <row r="184" spans="32:79" ht="15" customHeight="1" x14ac:dyDescent="0.2">
      <c r="AF184" s="4" t="s">
        <v>154</v>
      </c>
      <c r="AG184" s="5"/>
      <c r="AH184" s="5"/>
      <c r="AI184" s="5"/>
      <c r="AJ184" s="5"/>
      <c r="AK184" s="5"/>
      <c r="AL184" s="5"/>
      <c r="AM184" s="5"/>
      <c r="AN184" s="5"/>
      <c r="AO184" s="6"/>
      <c r="BP184" s="7"/>
      <c r="BQ184" s="8"/>
      <c r="BR184" s="73"/>
      <c r="BS184" s="103"/>
      <c r="BT184" s="103"/>
      <c r="BU184" s="103"/>
      <c r="BV184" s="103"/>
      <c r="BW184" s="103"/>
      <c r="BX184" s="103"/>
      <c r="BY184" s="103"/>
      <c r="CA184" s="2"/>
    </row>
    <row r="185" spans="32:79" ht="15" customHeight="1" x14ac:dyDescent="0.2">
      <c r="AF185" s="7" t="s">
        <v>378</v>
      </c>
      <c r="AG185" s="8"/>
      <c r="AH185" s="8"/>
      <c r="AI185" s="5"/>
      <c r="AJ185" s="5"/>
      <c r="AK185" s="5"/>
      <c r="AL185" s="5"/>
      <c r="AM185" s="5"/>
      <c r="AN185" s="5"/>
      <c r="AO185" s="6"/>
      <c r="BP185" s="7"/>
      <c r="BQ185" s="8"/>
      <c r="BR185" s="73"/>
      <c r="BS185" s="103"/>
      <c r="BT185" s="103"/>
      <c r="BU185" s="103"/>
      <c r="BV185" s="103"/>
      <c r="BW185" s="103"/>
      <c r="BX185" s="103"/>
      <c r="BY185" s="103"/>
    </row>
    <row r="186" spans="32:79" ht="15" customHeight="1" x14ac:dyDescent="0.2">
      <c r="AF186" s="4" t="s">
        <v>211</v>
      </c>
      <c r="AG186" s="5"/>
      <c r="AH186" s="5"/>
      <c r="AI186" s="5"/>
      <c r="AJ186" s="5"/>
      <c r="AK186" s="5"/>
      <c r="AL186" s="5"/>
      <c r="AM186" s="5"/>
      <c r="AN186" s="5"/>
      <c r="AO186" s="6"/>
      <c r="BR186" s="100" t="s">
        <v>663</v>
      </c>
      <c r="BS186" s="103">
        <v>0.96</v>
      </c>
      <c r="BT186" s="103">
        <v>1.23</v>
      </c>
      <c r="BU186" s="103">
        <v>1.47</v>
      </c>
      <c r="BV186" s="103">
        <v>1.69</v>
      </c>
      <c r="BW186" s="103">
        <v>1.89</v>
      </c>
      <c r="BX186" s="103">
        <v>2.08</v>
      </c>
      <c r="BY186" s="103">
        <v>2.2599999999999998</v>
      </c>
    </row>
    <row r="187" spans="32:79" ht="15" customHeight="1" x14ac:dyDescent="0.2">
      <c r="AF187" s="4" t="s">
        <v>155</v>
      </c>
      <c r="AG187" s="5"/>
      <c r="AH187" s="5"/>
      <c r="AI187" s="5"/>
      <c r="AJ187" s="5"/>
      <c r="AK187" s="5"/>
      <c r="AL187" s="5"/>
      <c r="AM187" s="5"/>
      <c r="AN187" s="5"/>
      <c r="AO187" s="6"/>
      <c r="BR187" s="73" t="s">
        <v>664</v>
      </c>
      <c r="BS187" s="103">
        <v>1.91</v>
      </c>
      <c r="BT187" s="103">
        <v>2.4500000000000002</v>
      </c>
      <c r="BU187" s="103">
        <v>2.93</v>
      </c>
      <c r="BV187" s="103">
        <v>3.37</v>
      </c>
      <c r="BW187" s="103">
        <v>3.78</v>
      </c>
      <c r="BX187" s="103">
        <v>4.16</v>
      </c>
      <c r="BY187" s="103">
        <v>4.5199999999999996</v>
      </c>
    </row>
    <row r="188" spans="32:79" ht="15" customHeight="1" x14ac:dyDescent="0.2">
      <c r="AF188" s="4" t="s">
        <v>157</v>
      </c>
      <c r="AG188" s="5"/>
      <c r="AH188" s="5"/>
      <c r="AI188" s="5"/>
      <c r="AJ188" s="5"/>
      <c r="AK188" s="5"/>
      <c r="AL188" s="5"/>
      <c r="AM188" s="5"/>
      <c r="AN188" s="5"/>
      <c r="AO188" s="6"/>
      <c r="BR188" s="73" t="s">
        <v>665</v>
      </c>
      <c r="BS188" s="105">
        <v>3.15</v>
      </c>
      <c r="BT188" s="105">
        <v>3.96</v>
      </c>
      <c r="BU188" s="105">
        <v>4.6500000000000004</v>
      </c>
      <c r="BV188" s="105">
        <v>5.28</v>
      </c>
      <c r="BW188" s="105">
        <v>5.85</v>
      </c>
      <c r="BX188" s="105">
        <v>6.39</v>
      </c>
      <c r="BY188" s="105">
        <v>6.87</v>
      </c>
    </row>
    <row r="189" spans="32:79" ht="15" customHeight="1" x14ac:dyDescent="0.2">
      <c r="AF189" s="4" t="s">
        <v>215</v>
      </c>
      <c r="AG189" s="5"/>
      <c r="AH189" s="5"/>
      <c r="AI189" s="8"/>
      <c r="AJ189" s="8"/>
      <c r="AK189" s="8"/>
      <c r="AL189" s="8"/>
      <c r="AM189" s="8"/>
      <c r="AN189" s="8"/>
      <c r="AO189" s="9"/>
      <c r="BR189" s="73" t="s">
        <v>673</v>
      </c>
      <c r="BS189" s="103">
        <v>4.18</v>
      </c>
      <c r="BT189" s="103">
        <v>5.26</v>
      </c>
      <c r="BU189" s="103">
        <v>6.19</v>
      </c>
      <c r="BV189" s="103">
        <v>7.03</v>
      </c>
      <c r="BW189" s="103">
        <v>7.79</v>
      </c>
      <c r="BX189" s="103">
        <v>8.5</v>
      </c>
      <c r="BY189" s="103">
        <v>9.17</v>
      </c>
    </row>
    <row r="190" spans="32:79" ht="15" customHeight="1" x14ac:dyDescent="0.2">
      <c r="AF190" s="4" t="s">
        <v>158</v>
      </c>
      <c r="AG190" s="5"/>
      <c r="AH190" s="5"/>
      <c r="AI190" s="5"/>
      <c r="AJ190" s="5"/>
      <c r="AK190" s="5"/>
      <c r="AL190" s="5"/>
      <c r="AM190" s="5"/>
      <c r="AN190" s="5"/>
      <c r="AO190" s="6"/>
    </row>
    <row r="191" spans="32:79" ht="15" customHeight="1" x14ac:dyDescent="0.2">
      <c r="AF191" s="4" t="s">
        <v>218</v>
      </c>
      <c r="AG191" s="5"/>
      <c r="AH191" s="5"/>
      <c r="AI191" s="5"/>
      <c r="AJ191" s="5"/>
      <c r="AK191" s="5"/>
      <c r="AL191" s="5"/>
      <c r="AM191" s="5"/>
      <c r="AN191" s="5"/>
      <c r="AO191" s="6"/>
      <c r="BP191" s="227" t="s">
        <v>654</v>
      </c>
      <c r="BQ191" s="228"/>
      <c r="BR191" s="228"/>
      <c r="BS191" s="228"/>
      <c r="BT191" s="228"/>
      <c r="BU191" s="228"/>
      <c r="BV191" s="228"/>
      <c r="BW191" s="228"/>
      <c r="BX191" s="228"/>
      <c r="BY191" s="229"/>
    </row>
    <row r="192" spans="32:79" ht="15" customHeight="1" x14ac:dyDescent="0.2">
      <c r="AF192" s="4" t="s">
        <v>159</v>
      </c>
      <c r="AG192" s="5"/>
      <c r="AH192" s="5"/>
      <c r="AI192" s="5"/>
      <c r="AJ192" s="5"/>
      <c r="AK192" s="5"/>
      <c r="AL192" s="5"/>
      <c r="AM192" s="5"/>
      <c r="AN192" s="5"/>
      <c r="AO192" s="6"/>
      <c r="BP192" s="7"/>
      <c r="BQ192" s="8"/>
      <c r="BR192" s="9" t="s">
        <v>569</v>
      </c>
      <c r="BS192" s="16">
        <v>2</v>
      </c>
      <c r="BT192" s="16">
        <v>3</v>
      </c>
      <c r="BU192" s="16">
        <v>4</v>
      </c>
      <c r="BV192" s="16">
        <v>5</v>
      </c>
      <c r="BW192" s="16">
        <v>6</v>
      </c>
      <c r="BX192" s="16">
        <v>7</v>
      </c>
      <c r="BY192" s="16">
        <v>8</v>
      </c>
    </row>
    <row r="193" spans="32:77" ht="15" customHeight="1" x14ac:dyDescent="0.2">
      <c r="AF193" s="4" t="s">
        <v>161</v>
      </c>
      <c r="AG193" s="5"/>
      <c r="AH193" s="5"/>
      <c r="AI193" s="5"/>
      <c r="AJ193" s="5"/>
      <c r="AK193" s="5"/>
      <c r="AL193" s="5"/>
      <c r="AM193" s="5"/>
      <c r="AN193" s="5"/>
      <c r="AO193" s="6"/>
      <c r="BP193" s="99"/>
      <c r="BQ193" s="18"/>
      <c r="BR193" s="100"/>
      <c r="BS193" s="103"/>
      <c r="BT193" s="103"/>
      <c r="BU193" s="103"/>
      <c r="BV193" s="103"/>
      <c r="BW193" s="103"/>
      <c r="BX193" s="103"/>
      <c r="BY193" s="103"/>
    </row>
    <row r="194" spans="32:77" ht="15" customHeight="1" x14ac:dyDescent="0.2">
      <c r="AF194" s="4" t="s">
        <v>222</v>
      </c>
      <c r="AG194" s="5"/>
      <c r="AH194" s="5"/>
      <c r="AI194" s="5"/>
      <c r="AJ194" s="5"/>
      <c r="AK194" s="5"/>
      <c r="AL194" s="5"/>
      <c r="AM194" s="5"/>
      <c r="AN194" s="5"/>
      <c r="AO194" s="6"/>
      <c r="BP194" s="7"/>
      <c r="BQ194" s="8"/>
      <c r="BR194" s="73"/>
      <c r="BS194" s="103"/>
      <c r="BT194" s="103"/>
      <c r="BU194" s="103"/>
      <c r="BV194" s="103"/>
      <c r="BW194" s="103"/>
      <c r="BX194" s="103"/>
      <c r="BY194" s="103"/>
    </row>
    <row r="195" spans="32:77" ht="15" customHeight="1" x14ac:dyDescent="0.2">
      <c r="AF195" s="7" t="s">
        <v>379</v>
      </c>
      <c r="AG195" s="8"/>
      <c r="AH195" s="8"/>
      <c r="AI195" s="5"/>
      <c r="AJ195" s="5"/>
      <c r="AK195" s="5"/>
      <c r="AL195" s="5"/>
      <c r="AM195" s="5"/>
      <c r="AN195" s="5"/>
      <c r="AO195" s="6"/>
      <c r="BP195" s="7"/>
      <c r="BQ195" s="8"/>
      <c r="BR195" s="73"/>
      <c r="BS195" s="105"/>
      <c r="BT195" s="105"/>
      <c r="BU195" s="105"/>
      <c r="BV195" s="105"/>
      <c r="BW195" s="105"/>
      <c r="BX195" s="105"/>
      <c r="BY195" s="105"/>
    </row>
    <row r="196" spans="32:77" ht="15" customHeight="1" x14ac:dyDescent="0.2">
      <c r="AF196" s="4" t="s">
        <v>165</v>
      </c>
      <c r="AG196" s="5"/>
      <c r="AH196" s="5"/>
      <c r="AI196" s="5"/>
      <c r="AJ196" s="5"/>
      <c r="AK196" s="5"/>
      <c r="AL196" s="5"/>
      <c r="AM196" s="5"/>
      <c r="AN196" s="5"/>
      <c r="AO196" s="6"/>
      <c r="BP196" s="7"/>
      <c r="BQ196" s="8"/>
      <c r="BR196" s="73"/>
      <c r="BS196" s="105"/>
      <c r="BT196" s="105"/>
      <c r="BU196" s="105"/>
      <c r="BV196" s="105"/>
      <c r="BW196" s="105"/>
      <c r="BX196" s="105"/>
      <c r="BY196" s="105"/>
    </row>
    <row r="197" spans="32:77" ht="15" customHeight="1" x14ac:dyDescent="0.2">
      <c r="AF197" s="4" t="s">
        <v>225</v>
      </c>
      <c r="AG197" s="5"/>
      <c r="AH197" s="5"/>
      <c r="AI197" s="5"/>
      <c r="AJ197" s="5"/>
      <c r="AK197" s="5"/>
      <c r="AL197" s="5"/>
      <c r="AM197" s="5"/>
      <c r="AN197" s="5"/>
      <c r="AO197" s="6"/>
      <c r="BP197" s="7"/>
      <c r="BQ197" s="8"/>
      <c r="BR197" s="73"/>
      <c r="BS197" s="105"/>
      <c r="BT197" s="105"/>
      <c r="BU197" s="105"/>
      <c r="BV197" s="105"/>
      <c r="BW197" s="105"/>
      <c r="BX197" s="105"/>
      <c r="BY197" s="105"/>
    </row>
    <row r="198" spans="32:77" ht="15" customHeight="1" x14ac:dyDescent="0.2">
      <c r="AF198" s="4" t="s">
        <v>163</v>
      </c>
      <c r="AG198" s="5"/>
      <c r="AH198" s="5"/>
      <c r="AI198" s="5"/>
      <c r="AJ198" s="5"/>
      <c r="AK198" s="5"/>
      <c r="AL198" s="5"/>
      <c r="AM198" s="5"/>
      <c r="AN198" s="5"/>
      <c r="AO198" s="6"/>
      <c r="BP198" s="7"/>
      <c r="BQ198" s="8"/>
      <c r="BR198" s="73"/>
      <c r="BS198" s="105"/>
      <c r="BT198" s="105"/>
      <c r="BU198" s="105"/>
      <c r="BV198" s="105"/>
      <c r="BW198" s="105"/>
      <c r="BX198" s="105"/>
      <c r="BY198" s="105"/>
    </row>
    <row r="199" spans="32:77" ht="15" customHeight="1" x14ac:dyDescent="0.2">
      <c r="AF199" s="4" t="s">
        <v>228</v>
      </c>
      <c r="AG199" s="5"/>
      <c r="AH199" s="5"/>
      <c r="AI199" s="8"/>
      <c r="AJ199" s="8"/>
      <c r="AK199" s="8"/>
      <c r="AL199" s="8"/>
      <c r="AM199" s="8"/>
      <c r="AN199" s="8"/>
      <c r="AO199" s="9"/>
      <c r="BP199" s="7"/>
      <c r="BQ199" s="8"/>
      <c r="BR199" s="73"/>
      <c r="BS199" s="105"/>
      <c r="BT199" s="105"/>
      <c r="BU199" s="105"/>
      <c r="BV199" s="105"/>
      <c r="BW199" s="105"/>
      <c r="BX199" s="105"/>
      <c r="BY199" s="105"/>
    </row>
    <row r="200" spans="32:77" ht="15" customHeight="1" x14ac:dyDescent="0.2">
      <c r="AF200" s="4" t="s">
        <v>230</v>
      </c>
      <c r="AG200" s="5"/>
      <c r="AH200" s="5"/>
      <c r="AI200" s="5"/>
      <c r="AJ200" s="5"/>
      <c r="AK200" s="5"/>
      <c r="AL200" s="5"/>
      <c r="AM200" s="5"/>
      <c r="AN200" s="5"/>
      <c r="AO200" s="6"/>
      <c r="BP200" s="7"/>
      <c r="BQ200" s="8"/>
      <c r="BR200" s="73"/>
      <c r="BS200" s="105"/>
      <c r="BT200" s="105"/>
      <c r="BU200" s="105"/>
      <c r="BV200" s="105"/>
      <c r="BW200" s="105"/>
      <c r="BX200" s="105"/>
      <c r="BY200" s="105"/>
    </row>
    <row r="201" spans="32:77" ht="15" customHeight="1" x14ac:dyDescent="0.2">
      <c r="AF201" s="4" t="s">
        <v>166</v>
      </c>
      <c r="AG201" s="5"/>
      <c r="AH201" s="5"/>
      <c r="AI201" s="5"/>
      <c r="AJ201" s="5"/>
      <c r="AK201" s="5"/>
      <c r="AL201" s="5"/>
      <c r="AM201" s="5"/>
      <c r="AN201" s="5"/>
      <c r="AO201" s="6"/>
      <c r="BP201" s="7"/>
      <c r="BQ201" s="8"/>
      <c r="BR201" s="73"/>
      <c r="BS201" s="103"/>
      <c r="BT201" s="103"/>
      <c r="BU201" s="103"/>
      <c r="BV201" s="103"/>
      <c r="BW201" s="103"/>
      <c r="BX201" s="103"/>
      <c r="BY201" s="103"/>
    </row>
    <row r="202" spans="32:77" ht="15" customHeight="1" x14ac:dyDescent="0.2">
      <c r="AF202" s="4" t="s">
        <v>168</v>
      </c>
      <c r="AG202" s="5"/>
      <c r="AH202" s="5"/>
      <c r="AI202" s="5"/>
      <c r="AJ202" s="5"/>
      <c r="AK202" s="5"/>
      <c r="AL202" s="5"/>
      <c r="AM202" s="5"/>
      <c r="AN202" s="5"/>
      <c r="AO202" s="6"/>
      <c r="BP202" s="7"/>
      <c r="BQ202" s="8"/>
      <c r="BR202" s="73"/>
      <c r="BS202" s="103"/>
      <c r="BT202" s="103"/>
      <c r="BU202" s="103"/>
      <c r="BV202" s="103"/>
      <c r="BW202" s="103"/>
      <c r="BX202" s="103"/>
      <c r="BY202" s="103"/>
    </row>
    <row r="203" spans="32:77" ht="15" customHeight="1" x14ac:dyDescent="0.2">
      <c r="AF203" s="4" t="s">
        <v>234</v>
      </c>
      <c r="AG203" s="5"/>
      <c r="AH203" s="5"/>
      <c r="AI203" s="5"/>
      <c r="AJ203" s="5"/>
      <c r="AK203" s="5"/>
      <c r="AL203" s="5"/>
      <c r="AM203" s="5"/>
      <c r="AN203" s="5"/>
      <c r="AO203" s="6"/>
      <c r="BP203" s="7"/>
      <c r="BQ203" s="8"/>
      <c r="BR203" s="73"/>
      <c r="BS203" s="103"/>
      <c r="BT203" s="103"/>
      <c r="BU203" s="103"/>
      <c r="BV203" s="103"/>
      <c r="BW203" s="103"/>
      <c r="BX203" s="103"/>
      <c r="BY203" s="103"/>
    </row>
    <row r="204" spans="32:77" ht="15" customHeight="1" x14ac:dyDescent="0.2">
      <c r="AF204" s="4" t="s">
        <v>236</v>
      </c>
      <c r="AG204" s="5"/>
      <c r="AH204" s="5"/>
      <c r="AI204" s="5"/>
      <c r="AJ204" s="5"/>
      <c r="AK204" s="5"/>
      <c r="AL204" s="5"/>
      <c r="AM204" s="5"/>
      <c r="AN204" s="5"/>
      <c r="AO204" s="6"/>
      <c r="BP204" s="7"/>
      <c r="BQ204" s="8"/>
      <c r="BR204" s="73"/>
      <c r="BS204" s="103"/>
      <c r="BT204" s="103"/>
      <c r="BU204" s="103"/>
      <c r="BV204" s="103"/>
      <c r="BW204" s="103"/>
      <c r="BX204" s="103"/>
      <c r="BY204" s="103"/>
    </row>
    <row r="205" spans="32:77" ht="15" customHeight="1" x14ac:dyDescent="0.2">
      <c r="AF205" s="4" t="s">
        <v>238</v>
      </c>
      <c r="AG205" s="5"/>
      <c r="AH205" s="5"/>
      <c r="AI205" s="5"/>
      <c r="AJ205" s="5"/>
      <c r="AK205" s="5"/>
      <c r="AL205" s="5"/>
      <c r="AM205" s="5"/>
      <c r="AN205" s="5"/>
      <c r="AO205" s="6"/>
      <c r="BP205" s="7"/>
      <c r="BQ205" s="8"/>
      <c r="BR205" s="100"/>
      <c r="BS205" s="103"/>
      <c r="BT205" s="103"/>
      <c r="BU205" s="103"/>
      <c r="BV205" s="103"/>
      <c r="BW205" s="103"/>
      <c r="BX205" s="103"/>
      <c r="BY205" s="103"/>
    </row>
    <row r="206" spans="32:77" ht="15" customHeight="1" x14ac:dyDescent="0.2">
      <c r="AF206" s="4" t="s">
        <v>240</v>
      </c>
      <c r="AG206" s="5"/>
      <c r="AH206" s="5"/>
      <c r="AI206" s="5"/>
      <c r="AJ206" s="5"/>
      <c r="AK206" s="5"/>
      <c r="AL206" s="5"/>
      <c r="AM206" s="5"/>
      <c r="AN206" s="5"/>
      <c r="AO206" s="6"/>
      <c r="BP206" s="7"/>
      <c r="BQ206" s="8"/>
      <c r="BR206" s="73"/>
      <c r="BS206" s="103"/>
      <c r="BT206" s="103"/>
      <c r="BU206" s="103"/>
      <c r="BV206" s="103"/>
      <c r="BW206" s="103"/>
      <c r="BX206" s="103"/>
      <c r="BY206" s="103"/>
    </row>
    <row r="207" spans="32:77" ht="15" customHeight="1" x14ac:dyDescent="0.2">
      <c r="AF207" s="4" t="s">
        <v>242</v>
      </c>
      <c r="AG207" s="5"/>
      <c r="AH207" s="5"/>
      <c r="AI207" s="5"/>
      <c r="AJ207" s="5"/>
      <c r="AK207" s="5"/>
      <c r="AL207" s="5"/>
      <c r="AM207" s="5"/>
      <c r="AN207" s="5"/>
      <c r="AO207" s="6"/>
      <c r="BP207" s="7"/>
      <c r="BQ207" s="8"/>
      <c r="BR207" s="73"/>
      <c r="BS207" s="103"/>
      <c r="BT207" s="103"/>
      <c r="BU207" s="103"/>
      <c r="BV207" s="103"/>
      <c r="BW207" s="103"/>
      <c r="BX207" s="103"/>
      <c r="BY207" s="103"/>
    </row>
    <row r="208" spans="32:77" ht="15" customHeight="1" x14ac:dyDescent="0.2">
      <c r="AF208" s="4" t="s">
        <v>380</v>
      </c>
      <c r="AG208" s="5"/>
      <c r="AH208" s="5"/>
      <c r="AI208" s="5"/>
      <c r="AJ208" s="5"/>
      <c r="AK208" s="5"/>
      <c r="AL208" s="5"/>
      <c r="AM208" s="5"/>
      <c r="AN208" s="5"/>
      <c r="AO208" s="6"/>
      <c r="BP208" s="7"/>
      <c r="BQ208" s="8"/>
      <c r="BR208" s="73"/>
      <c r="BS208" s="103"/>
      <c r="BT208" s="103"/>
      <c r="BU208" s="103"/>
      <c r="BV208" s="103"/>
      <c r="BW208" s="103"/>
      <c r="BX208" s="103"/>
      <c r="BY208" s="103"/>
    </row>
    <row r="209" spans="32:92" ht="15" customHeight="1" x14ac:dyDescent="0.2">
      <c r="AF209" s="4" t="s">
        <v>244</v>
      </c>
      <c r="AG209" s="5"/>
      <c r="AH209" s="5"/>
      <c r="AI209" s="5"/>
      <c r="AJ209" s="5"/>
      <c r="AK209" s="5"/>
      <c r="AL209" s="5"/>
      <c r="AM209" s="5"/>
      <c r="AN209" s="5"/>
      <c r="AO209" s="6"/>
      <c r="BR209" s="100" t="s">
        <v>669</v>
      </c>
      <c r="BS209" s="103">
        <v>1</v>
      </c>
      <c r="BT209" s="103" t="s">
        <v>655</v>
      </c>
      <c r="BU209" s="103">
        <v>1.6</v>
      </c>
      <c r="BV209" s="103">
        <v>1.8</v>
      </c>
      <c r="BW209" s="103" t="s">
        <v>656</v>
      </c>
      <c r="BX209" s="103">
        <v>2.1</v>
      </c>
      <c r="BY209" s="103">
        <v>2.2999999999999998</v>
      </c>
    </row>
    <row r="210" spans="32:92" ht="15" customHeight="1" x14ac:dyDescent="0.2">
      <c r="AF210" s="4" t="s">
        <v>170</v>
      </c>
      <c r="AG210" s="5"/>
      <c r="AH210" s="5"/>
      <c r="AI210" s="5"/>
      <c r="AJ210" s="5"/>
      <c r="AK210" s="5"/>
      <c r="AL210" s="5"/>
      <c r="AM210" s="5"/>
      <c r="AN210" s="5"/>
      <c r="AO210" s="6"/>
      <c r="BR210" s="73" t="s">
        <v>670</v>
      </c>
      <c r="BS210" s="103">
        <v>2.2000000000000002</v>
      </c>
      <c r="BT210" s="103" t="s">
        <v>657</v>
      </c>
      <c r="BU210" s="103">
        <v>3.3</v>
      </c>
      <c r="BV210" s="103">
        <v>3.7</v>
      </c>
      <c r="BW210" s="103" t="s">
        <v>658</v>
      </c>
      <c r="BX210" s="103">
        <v>4.5</v>
      </c>
      <c r="BY210" s="103">
        <v>4.9000000000000004</v>
      </c>
    </row>
    <row r="211" spans="32:92" ht="15" customHeight="1" x14ac:dyDescent="0.2">
      <c r="AF211" s="4" t="s">
        <v>172</v>
      </c>
      <c r="AG211" s="5"/>
      <c r="AH211" s="5"/>
      <c r="AI211" s="5"/>
      <c r="AJ211" s="5"/>
      <c r="AK211" s="5"/>
      <c r="AL211" s="5"/>
      <c r="AM211" s="5"/>
      <c r="AN211" s="5"/>
      <c r="AO211" s="6"/>
      <c r="BR211" s="73" t="s">
        <v>671</v>
      </c>
      <c r="BS211" s="105">
        <v>2.1</v>
      </c>
      <c r="BT211" s="105" t="s">
        <v>659</v>
      </c>
      <c r="BU211" s="105">
        <v>3.1</v>
      </c>
      <c r="BV211" s="105">
        <v>3.4</v>
      </c>
      <c r="BW211" s="105" t="s">
        <v>660</v>
      </c>
      <c r="BX211" s="105">
        <v>4.0999999999999996</v>
      </c>
      <c r="BY211" s="105">
        <v>4.4000000000000004</v>
      </c>
    </row>
    <row r="212" spans="32:92" ht="15" customHeight="1" x14ac:dyDescent="0.2">
      <c r="AF212" s="4" t="s">
        <v>248</v>
      </c>
      <c r="AG212" s="5"/>
      <c r="AH212" s="5"/>
      <c r="AI212" s="5"/>
      <c r="AJ212" s="5"/>
      <c r="AK212" s="5"/>
      <c r="AL212" s="5"/>
      <c r="AM212" s="5"/>
      <c r="AN212" s="5"/>
      <c r="AO212" s="6"/>
      <c r="BR212" s="73" t="s">
        <v>648</v>
      </c>
      <c r="BS212" s="103">
        <v>4</v>
      </c>
      <c r="BT212" s="103" t="s">
        <v>661</v>
      </c>
      <c r="BU212" s="103">
        <v>5.9</v>
      </c>
      <c r="BV212" s="103">
        <v>6.8</v>
      </c>
      <c r="BW212" s="103" t="s">
        <v>662</v>
      </c>
      <c r="BX212" s="103">
        <v>8.1999999999999993</v>
      </c>
      <c r="BY212" s="103">
        <v>8.6999999999999993</v>
      </c>
    </row>
    <row r="213" spans="32:92" ht="15" customHeight="1" x14ac:dyDescent="0.2">
      <c r="AF213" s="4" t="s">
        <v>250</v>
      </c>
      <c r="AG213" s="5"/>
      <c r="AH213" s="5"/>
      <c r="AI213" s="5"/>
      <c r="AJ213" s="5"/>
      <c r="AK213" s="5"/>
      <c r="AL213" s="5"/>
      <c r="AM213" s="5"/>
      <c r="AN213" s="5"/>
      <c r="AO213" s="6"/>
    </row>
    <row r="214" spans="32:92" ht="15" customHeight="1" x14ac:dyDescent="0.2">
      <c r="AF214" s="4" t="s">
        <v>174</v>
      </c>
      <c r="AG214" s="5"/>
      <c r="AH214" s="5"/>
      <c r="AI214" s="5"/>
      <c r="AJ214" s="5"/>
      <c r="AK214" s="5"/>
      <c r="AL214" s="5"/>
      <c r="AM214" s="5"/>
      <c r="AN214" s="5"/>
      <c r="AO214" s="6"/>
    </row>
    <row r="215" spans="32:92" ht="15" customHeight="1" x14ac:dyDescent="0.2">
      <c r="AF215" s="4" t="s">
        <v>175</v>
      </c>
      <c r="AG215" s="5"/>
      <c r="AH215" s="5"/>
      <c r="AI215" s="5"/>
      <c r="AJ215" s="5"/>
      <c r="AK215" s="5"/>
      <c r="AL215" s="5"/>
      <c r="AM215" s="5"/>
      <c r="AN215" s="5"/>
      <c r="AO215" s="6"/>
    </row>
    <row r="216" spans="32:92" ht="15" customHeight="1" x14ac:dyDescent="0.2">
      <c r="AF216" s="4" t="s">
        <v>254</v>
      </c>
      <c r="AG216" s="5"/>
      <c r="AH216" s="5"/>
      <c r="AI216" s="5"/>
      <c r="AJ216" s="5"/>
      <c r="AK216" s="5"/>
      <c r="AL216" s="5"/>
      <c r="AM216" s="5"/>
      <c r="AN216" s="5"/>
      <c r="AO216" s="6"/>
    </row>
    <row r="217" spans="32:92" ht="15" customHeight="1" x14ac:dyDescent="0.2">
      <c r="AF217" s="7" t="s">
        <v>381</v>
      </c>
      <c r="AG217" s="8"/>
      <c r="AH217" s="8"/>
      <c r="AI217" s="5"/>
      <c r="AJ217" s="5"/>
      <c r="AK217" s="5"/>
      <c r="AL217" s="5"/>
      <c r="AM217" s="5"/>
      <c r="AN217" s="5"/>
      <c r="AO217" s="6"/>
    </row>
    <row r="218" spans="32:92" ht="15" customHeight="1" x14ac:dyDescent="0.2">
      <c r="AF218" s="4" t="s">
        <v>256</v>
      </c>
      <c r="AG218" s="5"/>
      <c r="AH218" s="5"/>
      <c r="AI218" s="5"/>
      <c r="AJ218" s="5"/>
      <c r="AK218" s="5"/>
      <c r="AL218" s="5"/>
      <c r="AM218" s="5"/>
      <c r="AN218" s="5"/>
      <c r="AO218" s="6"/>
    </row>
    <row r="219" spans="32:92" ht="15" customHeight="1" x14ac:dyDescent="0.2">
      <c r="AF219" s="4" t="s">
        <v>177</v>
      </c>
      <c r="AG219" s="5"/>
      <c r="AH219" s="5"/>
      <c r="AI219" s="5"/>
      <c r="AJ219" s="5"/>
      <c r="AK219" s="5"/>
      <c r="AL219" s="5"/>
      <c r="AM219" s="5"/>
      <c r="AN219" s="5"/>
      <c r="AO219" s="6"/>
    </row>
    <row r="220" spans="32:92" ht="15" customHeight="1" x14ac:dyDescent="0.2">
      <c r="AF220" s="4" t="s">
        <v>179</v>
      </c>
      <c r="AG220" s="5"/>
      <c r="AH220" s="5"/>
      <c r="AI220" s="5"/>
      <c r="AJ220" s="5"/>
      <c r="AK220" s="5"/>
      <c r="AL220" s="5"/>
      <c r="AM220" s="5"/>
      <c r="AN220" s="5"/>
      <c r="AO220" s="6"/>
      <c r="CL220" s="2"/>
    </row>
    <row r="221" spans="32:92" ht="15" customHeight="1" x14ac:dyDescent="0.2">
      <c r="AF221" s="7" t="s">
        <v>382</v>
      </c>
      <c r="AG221" s="8"/>
      <c r="AH221" s="8"/>
      <c r="AI221" s="8"/>
      <c r="AJ221" s="8"/>
      <c r="AK221" s="8"/>
      <c r="AL221" s="8"/>
      <c r="AM221" s="8"/>
      <c r="AN221" s="8"/>
      <c r="AO221" s="9"/>
      <c r="CN221" s="2"/>
    </row>
    <row r="222" spans="32:92" ht="15" customHeight="1" x14ac:dyDescent="0.2">
      <c r="AF222" s="4" t="s">
        <v>181</v>
      </c>
      <c r="AG222" s="5"/>
      <c r="AH222" s="5"/>
      <c r="AI222" s="5"/>
      <c r="AJ222" s="5"/>
      <c r="AK222" s="5"/>
      <c r="AL222" s="5"/>
      <c r="AM222" s="5"/>
      <c r="AN222" s="5"/>
      <c r="AO222" s="6"/>
      <c r="CM222" s="2"/>
    </row>
    <row r="223" spans="32:92" ht="15" customHeight="1" x14ac:dyDescent="0.2">
      <c r="AF223" s="4" t="s">
        <v>261</v>
      </c>
      <c r="AG223" s="5"/>
      <c r="AH223" s="5"/>
      <c r="AI223" s="5"/>
      <c r="AJ223" s="5"/>
      <c r="AK223" s="5"/>
      <c r="AL223" s="5"/>
      <c r="AM223" s="5"/>
      <c r="AN223" s="5"/>
      <c r="AO223" s="6"/>
    </row>
    <row r="224" spans="32:92" ht="15" customHeight="1" x14ac:dyDescent="0.2">
      <c r="AF224" s="4" t="s">
        <v>263</v>
      </c>
      <c r="AG224" s="5"/>
      <c r="AH224" s="5"/>
      <c r="AI224" s="5"/>
      <c r="AJ224" s="5"/>
      <c r="AK224" s="5"/>
      <c r="AL224" s="5"/>
      <c r="AM224" s="5"/>
      <c r="AN224" s="5"/>
      <c r="AO224" s="6"/>
    </row>
    <row r="225" spans="32:89" ht="15" customHeight="1" x14ac:dyDescent="0.2">
      <c r="AF225" s="4" t="s">
        <v>265</v>
      </c>
      <c r="AG225" s="5"/>
      <c r="AH225" s="5"/>
      <c r="AI225" s="8"/>
      <c r="AJ225" s="8"/>
      <c r="AK225" s="8"/>
      <c r="AL225" s="8"/>
      <c r="AM225" s="8"/>
      <c r="AN225" s="8"/>
      <c r="AO225" s="9"/>
    </row>
    <row r="226" spans="32:89" ht="15" customHeight="1" x14ac:dyDescent="0.2">
      <c r="AF226" s="4" t="s">
        <v>267</v>
      </c>
      <c r="AG226" s="5"/>
      <c r="AH226" s="5"/>
      <c r="AI226" s="5"/>
      <c r="AJ226" s="5"/>
      <c r="AK226" s="5"/>
      <c r="AL226" s="5"/>
      <c r="AM226" s="5"/>
      <c r="AN226" s="5"/>
      <c r="AO226" s="6"/>
    </row>
    <row r="227" spans="32:89" ht="15" customHeight="1" x14ac:dyDescent="0.2">
      <c r="AF227" s="7" t="s">
        <v>383</v>
      </c>
      <c r="AG227" s="8"/>
      <c r="AH227" s="8"/>
      <c r="AI227" s="5"/>
      <c r="AJ227" s="5"/>
      <c r="AK227" s="5"/>
      <c r="AL227" s="5"/>
      <c r="AM227" s="5"/>
      <c r="AN227" s="5"/>
      <c r="AO227" s="6"/>
    </row>
    <row r="228" spans="32:89" ht="15" customHeight="1" x14ac:dyDescent="0.2">
      <c r="AF228" s="4" t="s">
        <v>183</v>
      </c>
      <c r="AG228" s="5"/>
      <c r="AH228" s="5"/>
      <c r="AI228" s="5"/>
      <c r="AJ228" s="5"/>
      <c r="AK228" s="5"/>
      <c r="AL228" s="5"/>
      <c r="AM228" s="5"/>
      <c r="AN228" s="5"/>
      <c r="AO228" s="6"/>
    </row>
    <row r="229" spans="32:89" ht="15" customHeight="1" x14ac:dyDescent="0.2">
      <c r="AF229" s="4" t="s">
        <v>184</v>
      </c>
      <c r="AG229" s="5"/>
      <c r="AH229" s="5"/>
      <c r="AI229" s="5"/>
      <c r="AJ229" s="5"/>
      <c r="AK229" s="5"/>
      <c r="AL229" s="5"/>
      <c r="AM229" s="5"/>
      <c r="AN229" s="5"/>
      <c r="AO229" s="6"/>
    </row>
    <row r="230" spans="32:89" ht="15" customHeight="1" x14ac:dyDescent="0.2">
      <c r="AF230" s="4" t="s">
        <v>185</v>
      </c>
      <c r="AG230" s="5"/>
      <c r="AH230" s="5"/>
      <c r="AI230" s="5"/>
      <c r="AJ230" s="5"/>
      <c r="AK230" s="5"/>
      <c r="AL230" s="5"/>
      <c r="AM230" s="5"/>
      <c r="AN230" s="5"/>
      <c r="AO230" s="6"/>
    </row>
    <row r="231" spans="32:89" ht="15" customHeight="1" x14ac:dyDescent="0.2">
      <c r="AF231" s="4" t="s">
        <v>272</v>
      </c>
      <c r="AG231" s="5"/>
      <c r="AH231" s="5"/>
      <c r="AI231" s="8"/>
      <c r="AJ231" s="8"/>
      <c r="AK231" s="8"/>
      <c r="AL231" s="8"/>
      <c r="AM231" s="8"/>
      <c r="AN231" s="8"/>
      <c r="AO231" s="9"/>
    </row>
    <row r="232" spans="32:89" ht="15" customHeight="1" x14ac:dyDescent="0.2">
      <c r="AF232" s="4" t="s">
        <v>186</v>
      </c>
      <c r="AG232" s="5"/>
      <c r="AH232" s="5"/>
      <c r="AI232" s="5"/>
      <c r="AJ232" s="5"/>
      <c r="AK232" s="5"/>
      <c r="AL232" s="5"/>
      <c r="AM232" s="5"/>
      <c r="AN232" s="5"/>
      <c r="AO232" s="6"/>
    </row>
    <row r="233" spans="32:89" ht="15" customHeight="1" x14ac:dyDescent="0.2">
      <c r="AF233" s="4" t="s">
        <v>187</v>
      </c>
      <c r="AG233" s="5"/>
      <c r="AH233" s="5"/>
      <c r="AI233" s="5"/>
      <c r="AJ233" s="5"/>
      <c r="AK233" s="5"/>
      <c r="AL233" s="5"/>
      <c r="AM233" s="5"/>
      <c r="AN233" s="5"/>
      <c r="AO233" s="6"/>
      <c r="CB233" s="28"/>
      <c r="CC233" s="2"/>
      <c r="CD233" s="2"/>
      <c r="CE233" s="2"/>
      <c r="CF233" s="2"/>
    </row>
    <row r="234" spans="32:89" ht="15" customHeight="1" x14ac:dyDescent="0.2">
      <c r="AF234" s="4" t="s">
        <v>276</v>
      </c>
      <c r="AG234" s="5"/>
      <c r="AH234" s="5"/>
      <c r="AI234" s="5"/>
      <c r="AJ234" s="5"/>
      <c r="AK234" s="5"/>
      <c r="AL234" s="5"/>
      <c r="AM234" s="5"/>
      <c r="AN234" s="5"/>
      <c r="AO234" s="6"/>
    </row>
    <row r="235" spans="32:89" ht="15" customHeight="1" x14ac:dyDescent="0.2">
      <c r="AF235" s="4" t="s">
        <v>188</v>
      </c>
      <c r="AG235" s="5"/>
      <c r="AH235" s="5"/>
      <c r="AI235" s="5"/>
      <c r="AJ235" s="5"/>
      <c r="AK235" s="5"/>
      <c r="AL235" s="5"/>
      <c r="AM235" s="5"/>
      <c r="AN235" s="5"/>
      <c r="AO235" s="6"/>
    </row>
    <row r="236" spans="32:89" ht="15" customHeight="1" x14ac:dyDescent="0.2">
      <c r="AF236" s="4" t="s">
        <v>190</v>
      </c>
      <c r="AG236" s="5"/>
      <c r="AH236" s="5"/>
      <c r="AI236" s="5"/>
      <c r="AJ236" s="5"/>
      <c r="AK236" s="5"/>
      <c r="AL236" s="5"/>
      <c r="AM236" s="5"/>
      <c r="AN236" s="5"/>
      <c r="AO236" s="6"/>
      <c r="CG236" s="2"/>
    </row>
    <row r="237" spans="32:89" ht="15" customHeight="1" x14ac:dyDescent="0.2">
      <c r="AF237" s="4" t="s">
        <v>280</v>
      </c>
      <c r="AG237" s="5"/>
      <c r="AH237" s="5"/>
      <c r="AI237" s="5"/>
      <c r="AJ237" s="5"/>
      <c r="AK237" s="5"/>
      <c r="AL237" s="5"/>
      <c r="AM237" s="5"/>
      <c r="AN237" s="5"/>
      <c r="AO237" s="6"/>
      <c r="CH237" s="2"/>
      <c r="CI237" s="2"/>
      <c r="CJ237" s="2"/>
      <c r="CK237" s="2"/>
    </row>
    <row r="238" spans="32:89" ht="15" customHeight="1" x14ac:dyDescent="0.2">
      <c r="AF238" s="4" t="s">
        <v>191</v>
      </c>
      <c r="AG238" s="5"/>
      <c r="AH238" s="5"/>
      <c r="AI238" s="5"/>
      <c r="AJ238" s="5"/>
      <c r="AK238" s="5"/>
      <c r="AL238" s="5"/>
      <c r="AM238" s="5"/>
      <c r="AN238" s="5"/>
      <c r="AO238" s="6"/>
    </row>
    <row r="239" spans="32:89" ht="15" customHeight="1" x14ac:dyDescent="0.2">
      <c r="AF239" s="4" t="s">
        <v>192</v>
      </c>
      <c r="AG239" s="5"/>
      <c r="AH239" s="5"/>
      <c r="AI239" s="5"/>
      <c r="AJ239" s="5"/>
      <c r="AK239" s="5"/>
      <c r="AL239" s="5"/>
      <c r="AM239" s="5"/>
      <c r="AN239" s="5"/>
      <c r="AO239" s="6"/>
    </row>
    <row r="240" spans="32:89" ht="15" customHeight="1" x14ac:dyDescent="0.2">
      <c r="AF240" s="4" t="s">
        <v>194</v>
      </c>
      <c r="AG240" s="5"/>
      <c r="AH240" s="5"/>
      <c r="AI240" s="5"/>
      <c r="AJ240" s="5"/>
      <c r="AK240" s="5"/>
      <c r="AL240" s="5"/>
      <c r="AM240" s="5"/>
      <c r="AN240" s="5"/>
      <c r="AO240" s="6"/>
    </row>
    <row r="241" spans="32:41" ht="15" customHeight="1" x14ac:dyDescent="0.2">
      <c r="AF241" s="4" t="s">
        <v>196</v>
      </c>
      <c r="AG241" s="5"/>
      <c r="AH241" s="5"/>
      <c r="AI241" s="5"/>
      <c r="AJ241" s="5"/>
      <c r="AK241" s="5"/>
      <c r="AL241" s="5"/>
      <c r="AM241" s="5"/>
      <c r="AN241" s="5"/>
      <c r="AO241" s="6"/>
    </row>
    <row r="242" spans="32:41" ht="15" customHeight="1" x14ac:dyDescent="0.2">
      <c r="AF242" s="4" t="s">
        <v>198</v>
      </c>
      <c r="AG242" s="5"/>
      <c r="AH242" s="5"/>
      <c r="AI242" s="5"/>
      <c r="AJ242" s="5"/>
      <c r="AK242" s="5"/>
      <c r="AL242" s="5"/>
      <c r="AM242" s="5"/>
      <c r="AN242" s="5"/>
      <c r="AO242" s="6"/>
    </row>
    <row r="243" spans="32:41" ht="15" customHeight="1" x14ac:dyDescent="0.2">
      <c r="AF243" s="4" t="s">
        <v>287</v>
      </c>
      <c r="AG243" s="5"/>
      <c r="AH243" s="5"/>
      <c r="AI243" s="5"/>
      <c r="AJ243" s="5"/>
      <c r="AK243" s="5"/>
      <c r="AL243" s="5"/>
      <c r="AM243" s="5"/>
      <c r="AN243" s="5"/>
      <c r="AO243" s="6"/>
    </row>
    <row r="244" spans="32:41" ht="15" customHeight="1" x14ac:dyDescent="0.2">
      <c r="AF244" s="4" t="s">
        <v>200</v>
      </c>
      <c r="AG244" s="5"/>
      <c r="AH244" s="5"/>
      <c r="AI244" s="5"/>
      <c r="AJ244" s="5"/>
      <c r="AK244" s="5"/>
      <c r="AL244" s="5"/>
      <c r="AM244" s="5"/>
      <c r="AN244" s="5"/>
      <c r="AO244" s="6"/>
    </row>
    <row r="245" spans="32:41" ht="15" customHeight="1" x14ac:dyDescent="0.2">
      <c r="AF245" s="4" t="s">
        <v>289</v>
      </c>
      <c r="AG245" s="5"/>
      <c r="AH245" s="5"/>
      <c r="AI245" s="5"/>
      <c r="AJ245" s="5"/>
      <c r="AK245" s="5"/>
      <c r="AL245" s="5"/>
      <c r="AM245" s="5"/>
      <c r="AN245" s="5"/>
      <c r="AO245" s="6"/>
    </row>
    <row r="246" spans="32:41" ht="15" customHeight="1" x14ac:dyDescent="0.2">
      <c r="AF246" s="7" t="s">
        <v>384</v>
      </c>
      <c r="AG246" s="8"/>
      <c r="AH246" s="8"/>
      <c r="AI246" s="5"/>
      <c r="AJ246" s="5"/>
      <c r="AK246" s="5"/>
      <c r="AL246" s="5"/>
      <c r="AM246" s="5"/>
      <c r="AN246" s="5"/>
      <c r="AO246" s="6"/>
    </row>
    <row r="247" spans="32:41" ht="15" customHeight="1" x14ac:dyDescent="0.2">
      <c r="AF247" s="4" t="s">
        <v>201</v>
      </c>
      <c r="AG247" s="5"/>
      <c r="AH247" s="5"/>
      <c r="AI247" s="5"/>
      <c r="AJ247" s="5"/>
      <c r="AK247" s="5"/>
      <c r="AL247" s="5"/>
      <c r="AM247" s="5"/>
      <c r="AN247" s="5"/>
      <c r="AO247" s="6"/>
    </row>
    <row r="248" spans="32:41" ht="15" customHeight="1" x14ac:dyDescent="0.2">
      <c r="AF248" s="7" t="s">
        <v>385</v>
      </c>
      <c r="AG248" s="8"/>
      <c r="AH248" s="8"/>
      <c r="AI248" s="5"/>
      <c r="AJ248" s="5"/>
      <c r="AK248" s="5"/>
      <c r="AL248" s="5"/>
      <c r="AM248" s="5"/>
      <c r="AN248" s="5"/>
      <c r="AO248" s="6"/>
    </row>
    <row r="249" spans="32:41" ht="15" customHeight="1" x14ac:dyDescent="0.2">
      <c r="AF249" s="4" t="s">
        <v>203</v>
      </c>
      <c r="AG249" s="5"/>
      <c r="AH249" s="5"/>
      <c r="AI249" s="5"/>
      <c r="AJ249" s="5"/>
      <c r="AK249" s="5"/>
      <c r="AL249" s="5"/>
      <c r="AM249" s="5"/>
      <c r="AN249" s="5"/>
      <c r="AO249" s="6"/>
    </row>
    <row r="250" spans="32:41" ht="15" customHeight="1" x14ac:dyDescent="0.2">
      <c r="AF250" s="7" t="s">
        <v>386</v>
      </c>
      <c r="AG250" s="8"/>
      <c r="AH250" s="8"/>
      <c r="AI250" s="8"/>
      <c r="AJ250" s="8"/>
      <c r="AK250" s="8"/>
      <c r="AL250" s="8"/>
      <c r="AM250" s="8"/>
      <c r="AN250" s="8"/>
      <c r="AO250" s="9"/>
    </row>
    <row r="251" spans="32:41" ht="15" customHeight="1" x14ac:dyDescent="0.2">
      <c r="AF251" s="4" t="s">
        <v>291</v>
      </c>
      <c r="AG251" s="5"/>
      <c r="AH251" s="5"/>
      <c r="AI251" s="5"/>
      <c r="AJ251" s="5"/>
      <c r="AK251" s="5"/>
      <c r="AL251" s="5"/>
      <c r="AM251" s="5"/>
      <c r="AN251" s="5"/>
      <c r="AO251" s="6"/>
    </row>
    <row r="252" spans="32:41" ht="15" customHeight="1" x14ac:dyDescent="0.2">
      <c r="AF252" s="4" t="s">
        <v>205</v>
      </c>
      <c r="AG252" s="5"/>
      <c r="AH252" s="5"/>
      <c r="AI252" s="8"/>
      <c r="AJ252" s="8"/>
      <c r="AK252" s="8"/>
      <c r="AL252" s="8"/>
      <c r="AM252" s="8"/>
      <c r="AN252" s="8"/>
      <c r="AO252" s="9"/>
    </row>
    <row r="253" spans="32:41" ht="15" customHeight="1" x14ac:dyDescent="0.2">
      <c r="AF253" s="4" t="s">
        <v>292</v>
      </c>
      <c r="AG253" s="5"/>
      <c r="AH253" s="5"/>
      <c r="AI253" s="5"/>
      <c r="AJ253" s="5"/>
      <c r="AK253" s="5"/>
      <c r="AL253" s="5"/>
      <c r="AM253" s="5"/>
      <c r="AN253" s="5"/>
      <c r="AO253" s="6"/>
    </row>
    <row r="254" spans="32:41" ht="15" customHeight="1" x14ac:dyDescent="0.2">
      <c r="AF254" s="4" t="s">
        <v>293</v>
      </c>
      <c r="AG254" s="5"/>
      <c r="AH254" s="5"/>
      <c r="AI254" s="8"/>
      <c r="AJ254" s="8"/>
      <c r="AK254" s="8"/>
      <c r="AL254" s="8"/>
      <c r="AM254" s="8"/>
      <c r="AN254" s="8"/>
      <c r="AO254" s="9"/>
    </row>
    <row r="255" spans="32:41" ht="15" customHeight="1" x14ac:dyDescent="0.2">
      <c r="AF255" s="4" t="s">
        <v>206</v>
      </c>
      <c r="AG255" s="5"/>
      <c r="AH255" s="5"/>
      <c r="AI255" s="5"/>
      <c r="AJ255" s="5"/>
      <c r="AK255" s="5"/>
      <c r="AL255" s="5"/>
      <c r="AM255" s="5"/>
      <c r="AN255" s="5"/>
      <c r="AO255" s="6"/>
    </row>
    <row r="256" spans="32:41" ht="15" customHeight="1" x14ac:dyDescent="0.2">
      <c r="AF256" s="4" t="s">
        <v>207</v>
      </c>
      <c r="AG256" s="5"/>
      <c r="AH256" s="5"/>
      <c r="AI256" s="5"/>
      <c r="AJ256" s="5"/>
      <c r="AK256" s="5"/>
      <c r="AL256" s="5"/>
      <c r="AM256" s="5"/>
      <c r="AN256" s="5"/>
      <c r="AO256" s="6"/>
    </row>
    <row r="257" spans="32:41" ht="15" customHeight="1" x14ac:dyDescent="0.2">
      <c r="AF257" s="4" t="s">
        <v>294</v>
      </c>
      <c r="AG257" s="5"/>
      <c r="AH257" s="5"/>
      <c r="AI257" s="5"/>
      <c r="AJ257" s="5"/>
      <c r="AK257" s="5"/>
      <c r="AL257" s="5"/>
      <c r="AM257" s="5"/>
      <c r="AN257" s="5"/>
      <c r="AO257" s="6"/>
    </row>
    <row r="258" spans="32:41" ht="15" customHeight="1" x14ac:dyDescent="0.2">
      <c r="AF258" s="4" t="s">
        <v>295</v>
      </c>
      <c r="AG258" s="5"/>
      <c r="AH258" s="5"/>
      <c r="AI258" s="5"/>
      <c r="AJ258" s="5"/>
      <c r="AK258" s="5"/>
      <c r="AL258" s="5"/>
      <c r="AM258" s="5"/>
      <c r="AN258" s="5"/>
      <c r="AO258" s="6"/>
    </row>
    <row r="259" spans="32:41" ht="15" customHeight="1" x14ac:dyDescent="0.2">
      <c r="AF259" s="7" t="s">
        <v>387</v>
      </c>
      <c r="AG259" s="8"/>
      <c r="AH259" s="8"/>
      <c r="AI259" s="5"/>
      <c r="AJ259" s="5"/>
      <c r="AK259" s="5"/>
      <c r="AL259" s="5"/>
      <c r="AM259" s="5"/>
      <c r="AN259" s="5"/>
      <c r="AO259" s="6"/>
    </row>
    <row r="260" spans="32:41" ht="15" customHeight="1" x14ac:dyDescent="0.2">
      <c r="AF260" s="4" t="s">
        <v>208</v>
      </c>
      <c r="AG260" s="5"/>
      <c r="AH260" s="5"/>
      <c r="AI260" s="5"/>
      <c r="AJ260" s="5"/>
      <c r="AK260" s="5"/>
      <c r="AL260" s="5"/>
      <c r="AM260" s="5"/>
      <c r="AN260" s="5"/>
      <c r="AO260" s="6"/>
    </row>
    <row r="261" spans="32:41" ht="15" customHeight="1" x14ac:dyDescent="0.2">
      <c r="AF261" s="4" t="s">
        <v>209</v>
      </c>
      <c r="AG261" s="5"/>
      <c r="AH261" s="5"/>
      <c r="AI261" s="5"/>
      <c r="AJ261" s="5"/>
      <c r="AK261" s="5"/>
      <c r="AL261" s="5"/>
      <c r="AM261" s="5"/>
      <c r="AN261" s="5"/>
      <c r="AO261" s="6"/>
    </row>
    <row r="262" spans="32:41" ht="15" customHeight="1" x14ac:dyDescent="0.2">
      <c r="AF262" s="4" t="s">
        <v>210</v>
      </c>
      <c r="AG262" s="5"/>
      <c r="AH262" s="5"/>
      <c r="AI262" s="5"/>
      <c r="AJ262" s="5"/>
      <c r="AK262" s="5"/>
      <c r="AL262" s="5"/>
      <c r="AM262" s="5"/>
      <c r="AN262" s="5"/>
      <c r="AO262" s="6"/>
    </row>
    <row r="263" spans="32:41" ht="15" customHeight="1" x14ac:dyDescent="0.2">
      <c r="AF263" s="4" t="s">
        <v>296</v>
      </c>
      <c r="AG263" s="5"/>
      <c r="AH263" s="5"/>
      <c r="AI263" s="8"/>
      <c r="AJ263" s="8"/>
      <c r="AK263" s="8"/>
      <c r="AL263" s="8"/>
      <c r="AM263" s="8"/>
      <c r="AN263" s="8"/>
      <c r="AO263" s="9"/>
    </row>
    <row r="264" spans="32:41" ht="15" customHeight="1" x14ac:dyDescent="0.2">
      <c r="AF264" s="4" t="s">
        <v>212</v>
      </c>
      <c r="AG264" s="5"/>
      <c r="AH264" s="5"/>
      <c r="AI264" s="5"/>
      <c r="AJ264" s="5"/>
      <c r="AK264" s="5"/>
      <c r="AL264" s="5"/>
      <c r="AM264" s="5"/>
      <c r="AN264" s="5"/>
      <c r="AO264" s="6"/>
    </row>
    <row r="265" spans="32:41" ht="15" customHeight="1" x14ac:dyDescent="0.2">
      <c r="AF265" s="4" t="s">
        <v>297</v>
      </c>
      <c r="AG265" s="5"/>
      <c r="AH265" s="5"/>
      <c r="AI265" s="5"/>
      <c r="AJ265" s="5"/>
      <c r="AK265" s="5"/>
      <c r="AL265" s="5"/>
      <c r="AM265" s="5"/>
      <c r="AN265" s="5"/>
      <c r="AO265" s="6"/>
    </row>
    <row r="266" spans="32:41" ht="15" customHeight="1" x14ac:dyDescent="0.2">
      <c r="AF266" s="4" t="s">
        <v>213</v>
      </c>
      <c r="AG266" s="5"/>
      <c r="AH266" s="5"/>
      <c r="AI266" s="5"/>
      <c r="AJ266" s="5"/>
      <c r="AK266" s="5"/>
      <c r="AL266" s="5"/>
      <c r="AM266" s="5"/>
      <c r="AN266" s="5"/>
      <c r="AO266" s="6"/>
    </row>
    <row r="267" spans="32:41" ht="15" customHeight="1" x14ac:dyDescent="0.2">
      <c r="AF267" s="4" t="s">
        <v>298</v>
      </c>
      <c r="AG267" s="5"/>
      <c r="AH267" s="5"/>
      <c r="AI267" s="5"/>
      <c r="AJ267" s="5"/>
      <c r="AK267" s="5"/>
      <c r="AL267" s="5"/>
      <c r="AM267" s="5"/>
      <c r="AN267" s="5"/>
      <c r="AO267" s="6"/>
    </row>
    <row r="268" spans="32:41" ht="15" customHeight="1" x14ac:dyDescent="0.2">
      <c r="AF268" s="4" t="s">
        <v>299</v>
      </c>
      <c r="AG268" s="5"/>
      <c r="AH268" s="5"/>
      <c r="AI268" s="5"/>
      <c r="AJ268" s="5"/>
      <c r="AK268" s="5"/>
      <c r="AL268" s="5"/>
      <c r="AM268" s="5"/>
      <c r="AN268" s="5"/>
      <c r="AO268" s="6"/>
    </row>
    <row r="269" spans="32:41" ht="15" customHeight="1" x14ac:dyDescent="0.2">
      <c r="AF269" s="4" t="s">
        <v>300</v>
      </c>
      <c r="AG269" s="5"/>
      <c r="AH269" s="5"/>
      <c r="AI269" s="5"/>
      <c r="AJ269" s="5"/>
      <c r="AK269" s="5"/>
      <c r="AL269" s="5"/>
      <c r="AM269" s="5"/>
      <c r="AN269" s="5"/>
      <c r="AO269" s="6"/>
    </row>
    <row r="270" spans="32:41" ht="15" customHeight="1" x14ac:dyDescent="0.2">
      <c r="AF270" s="4" t="s">
        <v>301</v>
      </c>
      <c r="AG270" s="5"/>
      <c r="AH270" s="5"/>
      <c r="AI270" s="5"/>
      <c r="AJ270" s="5"/>
      <c r="AK270" s="5"/>
      <c r="AL270" s="5"/>
      <c r="AM270" s="5"/>
      <c r="AN270" s="5"/>
      <c r="AO270" s="6"/>
    </row>
    <row r="271" spans="32:41" ht="15" customHeight="1" x14ac:dyDescent="0.2">
      <c r="AF271" s="4" t="s">
        <v>302</v>
      </c>
      <c r="AG271" s="5"/>
      <c r="AH271" s="5"/>
      <c r="AI271" s="5"/>
      <c r="AJ271" s="5"/>
      <c r="AK271" s="5"/>
      <c r="AL271" s="5"/>
      <c r="AM271" s="5"/>
      <c r="AN271" s="5"/>
      <c r="AO271" s="6"/>
    </row>
    <row r="272" spans="32:41" ht="15" customHeight="1" x14ac:dyDescent="0.2">
      <c r="AF272" s="4" t="s">
        <v>214</v>
      </c>
      <c r="AG272" s="5"/>
      <c r="AH272" s="5"/>
      <c r="AI272" s="5"/>
      <c r="AJ272" s="5"/>
      <c r="AK272" s="5"/>
      <c r="AL272" s="5"/>
      <c r="AM272" s="5"/>
      <c r="AN272" s="5"/>
      <c r="AO272" s="6"/>
    </row>
    <row r="273" spans="32:41" ht="15" customHeight="1" x14ac:dyDescent="0.2">
      <c r="AF273" s="4" t="s">
        <v>303</v>
      </c>
      <c r="AG273" s="5"/>
      <c r="AH273" s="5"/>
      <c r="AI273" s="5"/>
      <c r="AJ273" s="5"/>
      <c r="AK273" s="5"/>
      <c r="AL273" s="5"/>
      <c r="AM273" s="5"/>
      <c r="AN273" s="5"/>
      <c r="AO273" s="6"/>
    </row>
    <row r="274" spans="32:41" ht="15" customHeight="1" x14ac:dyDescent="0.2">
      <c r="AF274" s="4" t="s">
        <v>216</v>
      </c>
      <c r="AG274" s="5"/>
      <c r="AH274" s="5"/>
      <c r="AI274" s="5"/>
      <c r="AJ274" s="5"/>
      <c r="AK274" s="5"/>
      <c r="AL274" s="5"/>
      <c r="AM274" s="5"/>
      <c r="AN274" s="5"/>
      <c r="AO274" s="6"/>
    </row>
    <row r="275" spans="32:41" ht="15" customHeight="1" x14ac:dyDescent="0.2">
      <c r="AF275" s="4" t="s">
        <v>217</v>
      </c>
      <c r="AG275" s="5"/>
      <c r="AH275" s="5"/>
      <c r="AI275" s="5"/>
      <c r="AJ275" s="5"/>
      <c r="AK275" s="5"/>
      <c r="AL275" s="5"/>
      <c r="AM275" s="5"/>
      <c r="AN275" s="5"/>
      <c r="AO275" s="6"/>
    </row>
    <row r="276" spans="32:41" ht="15" customHeight="1" x14ac:dyDescent="0.2">
      <c r="AF276" s="4" t="s">
        <v>304</v>
      </c>
      <c r="AG276" s="5"/>
      <c r="AH276" s="5"/>
      <c r="AI276" s="5"/>
      <c r="AJ276" s="5"/>
      <c r="AK276" s="5"/>
      <c r="AL276" s="5"/>
      <c r="AM276" s="5"/>
      <c r="AN276" s="5"/>
      <c r="AO276" s="6"/>
    </row>
    <row r="277" spans="32:41" ht="15" customHeight="1" x14ac:dyDescent="0.2">
      <c r="AF277" s="4" t="s">
        <v>305</v>
      </c>
      <c r="AG277" s="5"/>
      <c r="AH277" s="5"/>
      <c r="AI277" s="5"/>
      <c r="AJ277" s="5"/>
      <c r="AK277" s="5"/>
      <c r="AL277" s="5"/>
      <c r="AM277" s="5"/>
      <c r="AN277" s="5"/>
      <c r="AO277" s="6"/>
    </row>
    <row r="278" spans="32:41" ht="15" customHeight="1" x14ac:dyDescent="0.2">
      <c r="AF278" s="4" t="s">
        <v>306</v>
      </c>
      <c r="AG278" s="5"/>
      <c r="AH278" s="5"/>
      <c r="AI278" s="5"/>
      <c r="AJ278" s="5"/>
      <c r="AK278" s="5"/>
      <c r="AL278" s="5"/>
      <c r="AM278" s="5"/>
      <c r="AN278" s="5"/>
      <c r="AO278" s="6"/>
    </row>
    <row r="279" spans="32:41" ht="15" customHeight="1" x14ac:dyDescent="0.2">
      <c r="AF279" s="4" t="s">
        <v>219</v>
      </c>
      <c r="AG279" s="5"/>
      <c r="AH279" s="5"/>
      <c r="AI279" s="5"/>
      <c r="AJ279" s="5"/>
      <c r="AK279" s="5"/>
      <c r="AL279" s="5"/>
      <c r="AM279" s="5"/>
      <c r="AN279" s="5"/>
      <c r="AO279" s="6"/>
    </row>
    <row r="280" spans="32:41" ht="15" customHeight="1" x14ac:dyDescent="0.2">
      <c r="AF280" s="4" t="s">
        <v>307</v>
      </c>
      <c r="AG280" s="5"/>
      <c r="AH280" s="5"/>
      <c r="AI280" s="5"/>
      <c r="AJ280" s="5"/>
      <c r="AK280" s="5"/>
      <c r="AL280" s="5"/>
      <c r="AM280" s="5"/>
      <c r="AN280" s="5"/>
      <c r="AO280" s="6"/>
    </row>
    <row r="281" spans="32:41" ht="15" customHeight="1" x14ac:dyDescent="0.2">
      <c r="AF281" s="4" t="s">
        <v>220</v>
      </c>
      <c r="AG281" s="5"/>
      <c r="AH281" s="5"/>
      <c r="AI281" s="5"/>
      <c r="AJ281" s="5"/>
      <c r="AK281" s="5"/>
      <c r="AL281" s="5"/>
      <c r="AM281" s="5"/>
      <c r="AN281" s="5"/>
      <c r="AO281" s="6"/>
    </row>
    <row r="282" spans="32:41" ht="15" customHeight="1" x14ac:dyDescent="0.2">
      <c r="AF282" s="4" t="s">
        <v>308</v>
      </c>
      <c r="AG282" s="5"/>
      <c r="AH282" s="5"/>
      <c r="AI282" s="5"/>
      <c r="AJ282" s="5"/>
      <c r="AK282" s="5"/>
      <c r="AL282" s="5"/>
      <c r="AM282" s="5"/>
      <c r="AN282" s="5"/>
      <c r="AO282" s="6"/>
    </row>
    <row r="283" spans="32:41" ht="15" customHeight="1" x14ac:dyDescent="0.2">
      <c r="AF283" s="4" t="s">
        <v>309</v>
      </c>
      <c r="AG283" s="5"/>
      <c r="AH283" s="5"/>
      <c r="AI283" s="5"/>
      <c r="AJ283" s="5"/>
      <c r="AK283" s="5"/>
      <c r="AL283" s="5"/>
      <c r="AM283" s="5"/>
      <c r="AN283" s="5"/>
      <c r="AO283" s="6"/>
    </row>
    <row r="284" spans="32:41" ht="15" customHeight="1" x14ac:dyDescent="0.2">
      <c r="AF284" s="4" t="s">
        <v>310</v>
      </c>
      <c r="AG284" s="5"/>
      <c r="AH284" s="5"/>
      <c r="AI284" s="5"/>
      <c r="AJ284" s="5"/>
      <c r="AK284" s="5"/>
      <c r="AL284" s="5"/>
      <c r="AM284" s="5"/>
      <c r="AN284" s="5"/>
      <c r="AO284" s="6"/>
    </row>
    <row r="285" spans="32:41" ht="15" customHeight="1" x14ac:dyDescent="0.2">
      <c r="AF285" s="4" t="s">
        <v>311</v>
      </c>
      <c r="AG285" s="5"/>
      <c r="AH285" s="5"/>
      <c r="AI285" s="5"/>
      <c r="AJ285" s="5"/>
      <c r="AK285" s="5"/>
      <c r="AL285" s="5"/>
      <c r="AM285" s="5"/>
      <c r="AN285" s="5"/>
      <c r="AO285" s="6"/>
    </row>
    <row r="286" spans="32:41" ht="15" customHeight="1" x14ac:dyDescent="0.2">
      <c r="AF286" s="4" t="s">
        <v>312</v>
      </c>
      <c r="AG286" s="5"/>
      <c r="AH286" s="5"/>
      <c r="AI286" s="5"/>
      <c r="AJ286" s="5"/>
      <c r="AK286" s="5"/>
      <c r="AL286" s="5"/>
      <c r="AM286" s="5"/>
      <c r="AN286" s="5"/>
      <c r="AO286" s="6"/>
    </row>
    <row r="287" spans="32:41" ht="15" customHeight="1" x14ac:dyDescent="0.2">
      <c r="AF287" s="4" t="s">
        <v>221</v>
      </c>
      <c r="AG287" s="5"/>
      <c r="AH287" s="5"/>
      <c r="AI287" s="5"/>
      <c r="AJ287" s="5"/>
      <c r="AK287" s="5"/>
      <c r="AL287" s="5"/>
      <c r="AM287" s="5"/>
      <c r="AN287" s="5"/>
      <c r="AO287" s="6"/>
    </row>
    <row r="288" spans="32:41" ht="15" customHeight="1" x14ac:dyDescent="0.2">
      <c r="AF288" s="4" t="s">
        <v>223</v>
      </c>
      <c r="AG288" s="5"/>
      <c r="AH288" s="5"/>
      <c r="AI288" s="5"/>
      <c r="AJ288" s="5"/>
      <c r="AK288" s="5"/>
      <c r="AL288" s="5"/>
      <c r="AM288" s="5"/>
      <c r="AN288" s="5"/>
      <c r="AO288" s="6"/>
    </row>
    <row r="289" spans="32:41" ht="15" customHeight="1" x14ac:dyDescent="0.2">
      <c r="AF289" s="4" t="s">
        <v>224</v>
      </c>
      <c r="AG289" s="5"/>
      <c r="AH289" s="5"/>
      <c r="AI289" s="5"/>
      <c r="AJ289" s="5"/>
      <c r="AK289" s="5"/>
      <c r="AL289" s="5"/>
      <c r="AM289" s="5"/>
      <c r="AN289" s="5"/>
      <c r="AO289" s="6"/>
    </row>
    <row r="290" spans="32:41" ht="15" customHeight="1" x14ac:dyDescent="0.2">
      <c r="AF290" s="4" t="s">
        <v>226</v>
      </c>
      <c r="AG290" s="5"/>
      <c r="AH290" s="5"/>
      <c r="AI290" s="5"/>
      <c r="AJ290" s="5"/>
      <c r="AK290" s="5"/>
      <c r="AL290" s="5"/>
      <c r="AM290" s="5"/>
      <c r="AN290" s="5"/>
      <c r="AO290" s="6"/>
    </row>
    <row r="291" spans="32:41" ht="15" customHeight="1" x14ac:dyDescent="0.2">
      <c r="AF291" s="4" t="s">
        <v>227</v>
      </c>
      <c r="AG291" s="5"/>
      <c r="AH291" s="5"/>
      <c r="AI291" s="5"/>
      <c r="AJ291" s="5"/>
      <c r="AK291" s="5"/>
      <c r="AL291" s="5"/>
      <c r="AM291" s="5"/>
      <c r="AN291" s="5"/>
      <c r="AO291" s="6"/>
    </row>
    <row r="292" spans="32:41" ht="15" customHeight="1" x14ac:dyDescent="0.2">
      <c r="AF292" s="4" t="s">
        <v>229</v>
      </c>
      <c r="AG292" s="5"/>
      <c r="AH292" s="5"/>
      <c r="AI292" s="5"/>
      <c r="AJ292" s="5"/>
      <c r="AK292" s="5"/>
      <c r="AL292" s="5"/>
      <c r="AM292" s="5"/>
      <c r="AN292" s="5"/>
      <c r="AO292" s="6"/>
    </row>
    <row r="293" spans="32:41" ht="15" customHeight="1" x14ac:dyDescent="0.2">
      <c r="AF293" s="7" t="s">
        <v>388</v>
      </c>
      <c r="AG293" s="8"/>
      <c r="AH293" s="8"/>
      <c r="AI293" s="5"/>
      <c r="AJ293" s="5"/>
      <c r="AK293" s="5"/>
      <c r="AL293" s="5"/>
      <c r="AM293" s="5"/>
      <c r="AN293" s="5"/>
      <c r="AO293" s="6"/>
    </row>
    <row r="294" spans="32:41" ht="15" customHeight="1" x14ac:dyDescent="0.2">
      <c r="AF294" s="4" t="s">
        <v>231</v>
      </c>
      <c r="AG294" s="5"/>
      <c r="AH294" s="5"/>
      <c r="AI294" s="5"/>
      <c r="AJ294" s="5"/>
      <c r="AK294" s="5"/>
      <c r="AL294" s="5"/>
      <c r="AM294" s="5"/>
      <c r="AN294" s="5"/>
      <c r="AO294" s="6"/>
    </row>
    <row r="295" spans="32:41" ht="15" customHeight="1" x14ac:dyDescent="0.2">
      <c r="AF295" s="4" t="s">
        <v>313</v>
      </c>
      <c r="AG295" s="5"/>
      <c r="AH295" s="5"/>
      <c r="AI295" s="5"/>
      <c r="AJ295" s="5"/>
      <c r="AK295" s="5"/>
      <c r="AL295" s="5"/>
      <c r="AM295" s="5"/>
      <c r="AN295" s="5"/>
      <c r="AO295" s="6"/>
    </row>
    <row r="296" spans="32:41" ht="15" customHeight="1" x14ac:dyDescent="0.2">
      <c r="AF296" s="4" t="s">
        <v>314</v>
      </c>
      <c r="AG296" s="5"/>
      <c r="AH296" s="5"/>
      <c r="AI296" s="5"/>
      <c r="AJ296" s="5"/>
      <c r="AK296" s="5"/>
      <c r="AL296" s="5"/>
      <c r="AM296" s="5"/>
      <c r="AN296" s="5"/>
      <c r="AO296" s="6"/>
    </row>
    <row r="297" spans="32:41" ht="15" customHeight="1" x14ac:dyDescent="0.2">
      <c r="AF297" s="4" t="s">
        <v>315</v>
      </c>
      <c r="AG297" s="5"/>
      <c r="AH297" s="5"/>
      <c r="AI297" s="8"/>
      <c r="AJ297" s="8"/>
      <c r="AK297" s="8"/>
      <c r="AL297" s="8"/>
      <c r="AM297" s="8"/>
      <c r="AN297" s="8"/>
      <c r="AO297" s="9"/>
    </row>
    <row r="298" spans="32:41" ht="15" customHeight="1" x14ac:dyDescent="0.2">
      <c r="AF298" s="4" t="s">
        <v>316</v>
      </c>
      <c r="AG298" s="5"/>
      <c r="AH298" s="5"/>
      <c r="AI298" s="5"/>
      <c r="AJ298" s="5"/>
      <c r="AK298" s="5"/>
      <c r="AL298" s="5"/>
      <c r="AM298" s="5"/>
      <c r="AN298" s="5"/>
      <c r="AO298" s="6"/>
    </row>
    <row r="299" spans="32:41" ht="15" customHeight="1" x14ac:dyDescent="0.2">
      <c r="AF299" s="4" t="s">
        <v>232</v>
      </c>
      <c r="AG299" s="5"/>
      <c r="AH299" s="5"/>
      <c r="AI299" s="5"/>
      <c r="AJ299" s="5"/>
      <c r="AK299" s="5"/>
      <c r="AL299" s="5"/>
      <c r="AM299" s="5"/>
      <c r="AN299" s="5"/>
      <c r="AO299" s="6"/>
    </row>
    <row r="300" spans="32:41" ht="15" customHeight="1" x14ac:dyDescent="0.2">
      <c r="AF300" s="4" t="s">
        <v>233</v>
      </c>
      <c r="AG300" s="5"/>
      <c r="AH300" s="5"/>
      <c r="AI300" s="5"/>
      <c r="AJ300" s="5"/>
      <c r="AK300" s="5"/>
      <c r="AL300" s="5"/>
      <c r="AM300" s="5"/>
      <c r="AN300" s="5"/>
      <c r="AO300" s="6"/>
    </row>
    <row r="301" spans="32:41" ht="15" customHeight="1" x14ac:dyDescent="0.2">
      <c r="AF301" s="4" t="s">
        <v>235</v>
      </c>
      <c r="AG301" s="5"/>
      <c r="AH301" s="5"/>
      <c r="AI301" s="5"/>
      <c r="AJ301" s="5"/>
      <c r="AK301" s="5"/>
      <c r="AL301" s="5"/>
      <c r="AM301" s="5"/>
      <c r="AN301" s="5"/>
      <c r="AO301" s="6"/>
    </row>
    <row r="302" spans="32:41" ht="15" customHeight="1" x14ac:dyDescent="0.2">
      <c r="AF302" s="4" t="s">
        <v>317</v>
      </c>
      <c r="AG302" s="5"/>
      <c r="AH302" s="5"/>
      <c r="AI302" s="5"/>
      <c r="AJ302" s="5"/>
      <c r="AK302" s="5"/>
      <c r="AL302" s="5"/>
      <c r="AM302" s="5"/>
      <c r="AN302" s="5"/>
      <c r="AO302" s="6"/>
    </row>
    <row r="303" spans="32:41" ht="15" customHeight="1" x14ac:dyDescent="0.2">
      <c r="AF303" s="4" t="s">
        <v>237</v>
      </c>
      <c r="AG303" s="5"/>
      <c r="AH303" s="5"/>
      <c r="AI303" s="5"/>
      <c r="AJ303" s="5"/>
      <c r="AK303" s="5"/>
      <c r="AL303" s="5"/>
      <c r="AM303" s="5"/>
      <c r="AN303" s="5"/>
      <c r="AO303" s="6"/>
    </row>
    <row r="304" spans="32:41" ht="15" customHeight="1" x14ac:dyDescent="0.2">
      <c r="AF304" s="7" t="s">
        <v>389</v>
      </c>
      <c r="AG304" s="8"/>
      <c r="AH304" s="8"/>
      <c r="AI304" s="5"/>
      <c r="AJ304" s="5"/>
      <c r="AK304" s="5"/>
      <c r="AL304" s="5"/>
      <c r="AM304" s="5"/>
      <c r="AN304" s="5"/>
      <c r="AO304" s="6"/>
    </row>
    <row r="305" spans="32:41" ht="15" customHeight="1" x14ac:dyDescent="0.2">
      <c r="AF305" s="4" t="s">
        <v>239</v>
      </c>
      <c r="AG305" s="5"/>
      <c r="AH305" s="5"/>
      <c r="AI305" s="5"/>
      <c r="AJ305" s="5"/>
      <c r="AK305" s="5"/>
      <c r="AL305" s="5"/>
      <c r="AM305" s="5"/>
      <c r="AN305" s="5"/>
      <c r="AO305" s="6"/>
    </row>
    <row r="306" spans="32:41" ht="15" customHeight="1" x14ac:dyDescent="0.2">
      <c r="AF306" s="4" t="s">
        <v>318</v>
      </c>
      <c r="AG306" s="5"/>
      <c r="AH306" s="5"/>
      <c r="AI306" s="5"/>
      <c r="AJ306" s="5"/>
      <c r="AK306" s="5"/>
      <c r="AL306" s="5"/>
      <c r="AM306" s="5"/>
      <c r="AN306" s="5"/>
      <c r="AO306" s="6"/>
    </row>
    <row r="307" spans="32:41" ht="15" customHeight="1" x14ac:dyDescent="0.2">
      <c r="AF307" s="4" t="s">
        <v>241</v>
      </c>
      <c r="AG307" s="5"/>
      <c r="AH307" s="5"/>
      <c r="AI307" s="5"/>
      <c r="AJ307" s="5"/>
      <c r="AK307" s="5"/>
      <c r="AL307" s="5"/>
      <c r="AM307" s="5"/>
      <c r="AN307" s="5"/>
      <c r="AO307" s="6"/>
    </row>
    <row r="308" spans="32:41" ht="15" customHeight="1" x14ac:dyDescent="0.2">
      <c r="AF308" s="7" t="s">
        <v>390</v>
      </c>
      <c r="AG308" s="8"/>
      <c r="AH308" s="8"/>
      <c r="AI308" s="8"/>
      <c r="AJ308" s="8"/>
      <c r="AK308" s="8"/>
      <c r="AL308" s="8"/>
      <c r="AM308" s="8"/>
      <c r="AN308" s="8"/>
      <c r="AO308" s="9"/>
    </row>
    <row r="309" spans="32:41" ht="15" customHeight="1" x14ac:dyDescent="0.2">
      <c r="AF309" s="4" t="s">
        <v>319</v>
      </c>
      <c r="AG309" s="5"/>
      <c r="AH309" s="5"/>
      <c r="AI309" s="5"/>
      <c r="AJ309" s="5"/>
      <c r="AK309" s="5"/>
      <c r="AL309" s="5"/>
      <c r="AM309" s="5"/>
      <c r="AN309" s="5"/>
      <c r="AO309" s="6"/>
    </row>
    <row r="310" spans="32:41" ht="15" customHeight="1" x14ac:dyDescent="0.2">
      <c r="AF310" s="4" t="s">
        <v>243</v>
      </c>
      <c r="AG310" s="5"/>
      <c r="AH310" s="5"/>
      <c r="AI310" s="5"/>
      <c r="AJ310" s="5"/>
      <c r="AK310" s="5"/>
      <c r="AL310" s="5"/>
      <c r="AM310" s="5"/>
      <c r="AN310" s="5"/>
      <c r="AO310" s="6"/>
    </row>
    <row r="311" spans="32:41" ht="15" customHeight="1" x14ac:dyDescent="0.2">
      <c r="AF311" s="4" t="s">
        <v>245</v>
      </c>
      <c r="AG311" s="5"/>
      <c r="AH311" s="5"/>
      <c r="AI311" s="5"/>
      <c r="AJ311" s="5"/>
      <c r="AK311" s="5"/>
      <c r="AL311" s="5"/>
      <c r="AM311" s="5"/>
      <c r="AN311" s="5"/>
      <c r="AO311" s="6"/>
    </row>
    <row r="312" spans="32:41" ht="15" customHeight="1" x14ac:dyDescent="0.2">
      <c r="AF312" s="4" t="s">
        <v>320</v>
      </c>
      <c r="AG312" s="5"/>
      <c r="AH312" s="5"/>
      <c r="AI312" s="8"/>
      <c r="AJ312" s="8"/>
      <c r="AK312" s="8"/>
      <c r="AL312" s="8"/>
      <c r="AM312" s="8"/>
      <c r="AN312" s="8"/>
      <c r="AO312" s="9"/>
    </row>
    <row r="313" spans="32:41" ht="15" customHeight="1" x14ac:dyDescent="0.2">
      <c r="AF313" s="4" t="s">
        <v>246</v>
      </c>
      <c r="AG313" s="5"/>
      <c r="AH313" s="5"/>
      <c r="AI313" s="5"/>
      <c r="AJ313" s="5"/>
      <c r="AK313" s="5"/>
      <c r="AL313" s="5"/>
      <c r="AM313" s="5"/>
      <c r="AN313" s="5"/>
      <c r="AO313" s="6"/>
    </row>
    <row r="314" spans="32:41" ht="15" customHeight="1" x14ac:dyDescent="0.2">
      <c r="AF314" s="4" t="s">
        <v>247</v>
      </c>
      <c r="AG314" s="5"/>
      <c r="AH314" s="5"/>
      <c r="AI314" s="5"/>
      <c r="AJ314" s="5"/>
      <c r="AK314" s="5"/>
      <c r="AL314" s="5"/>
      <c r="AM314" s="5"/>
      <c r="AN314" s="5"/>
      <c r="AO314" s="6"/>
    </row>
    <row r="315" spans="32:41" ht="15" customHeight="1" x14ac:dyDescent="0.2">
      <c r="AF315" s="4" t="s">
        <v>249</v>
      </c>
      <c r="AG315" s="5"/>
      <c r="AH315" s="5"/>
      <c r="AI315" s="5"/>
      <c r="AJ315" s="5"/>
      <c r="AK315" s="5"/>
      <c r="AL315" s="5"/>
      <c r="AM315" s="5"/>
      <c r="AN315" s="5"/>
      <c r="AO315" s="6"/>
    </row>
    <row r="316" spans="32:41" ht="15" customHeight="1" x14ac:dyDescent="0.2">
      <c r="AF316" s="4" t="s">
        <v>251</v>
      </c>
      <c r="AG316" s="5"/>
      <c r="AH316" s="5"/>
      <c r="AI316" s="5"/>
      <c r="AJ316" s="5"/>
      <c r="AK316" s="5"/>
      <c r="AL316" s="5"/>
      <c r="AM316" s="5"/>
      <c r="AN316" s="5"/>
      <c r="AO316" s="6"/>
    </row>
    <row r="317" spans="32:41" ht="15" customHeight="1" x14ac:dyDescent="0.2">
      <c r="AF317" s="4" t="s">
        <v>252</v>
      </c>
      <c r="AG317" s="5"/>
      <c r="AH317" s="5"/>
      <c r="AI317" s="5"/>
      <c r="AJ317" s="5"/>
      <c r="AK317" s="5"/>
      <c r="AL317" s="5"/>
      <c r="AM317" s="5"/>
      <c r="AN317" s="5"/>
      <c r="AO317" s="6"/>
    </row>
    <row r="318" spans="32:41" ht="15" customHeight="1" x14ac:dyDescent="0.2">
      <c r="AF318" s="4" t="s">
        <v>253</v>
      </c>
      <c r="AG318" s="5"/>
      <c r="AH318" s="5"/>
      <c r="AI318" s="5"/>
      <c r="AJ318" s="5"/>
      <c r="AK318" s="5"/>
      <c r="AL318" s="5"/>
      <c r="AM318" s="5"/>
      <c r="AN318" s="5"/>
      <c r="AO318" s="6"/>
    </row>
    <row r="319" spans="32:41" ht="15" customHeight="1" x14ac:dyDescent="0.2">
      <c r="AF319" s="7" t="s">
        <v>391</v>
      </c>
      <c r="AG319" s="8"/>
      <c r="AH319" s="8"/>
      <c r="AI319" s="5"/>
      <c r="AJ319" s="5"/>
      <c r="AK319" s="5"/>
      <c r="AL319" s="5"/>
      <c r="AM319" s="5"/>
      <c r="AN319" s="5"/>
      <c r="AO319" s="6"/>
    </row>
    <row r="320" spans="32:41" ht="15" customHeight="1" x14ac:dyDescent="0.2">
      <c r="AF320" s="4" t="s">
        <v>321</v>
      </c>
      <c r="AG320" s="5"/>
      <c r="AH320" s="5"/>
      <c r="AI320" s="5"/>
      <c r="AJ320" s="5"/>
      <c r="AK320" s="5"/>
      <c r="AL320" s="5"/>
      <c r="AM320" s="5"/>
      <c r="AN320" s="5"/>
      <c r="AO320" s="6"/>
    </row>
    <row r="321" spans="32:41" ht="15" customHeight="1" x14ac:dyDescent="0.2">
      <c r="AF321" s="7" t="s">
        <v>392</v>
      </c>
      <c r="AG321" s="8"/>
      <c r="AH321" s="8"/>
      <c r="AI321" s="5"/>
      <c r="AJ321" s="5"/>
      <c r="AK321" s="5"/>
      <c r="AL321" s="5"/>
      <c r="AM321" s="5"/>
      <c r="AN321" s="5"/>
      <c r="AO321" s="6"/>
    </row>
    <row r="322" spans="32:41" ht="15" customHeight="1" x14ac:dyDescent="0.2">
      <c r="AF322" s="4" t="s">
        <v>322</v>
      </c>
      <c r="AG322" s="5"/>
      <c r="AH322" s="5"/>
      <c r="AI322" s="5"/>
      <c r="AJ322" s="5"/>
      <c r="AK322" s="5"/>
      <c r="AL322" s="5"/>
      <c r="AM322" s="5"/>
      <c r="AN322" s="5"/>
      <c r="AO322" s="6"/>
    </row>
    <row r="323" spans="32:41" ht="15" customHeight="1" x14ac:dyDescent="0.2">
      <c r="AF323" s="7" t="s">
        <v>393</v>
      </c>
      <c r="AG323" s="8"/>
      <c r="AH323" s="8"/>
      <c r="AI323" s="8"/>
      <c r="AJ323" s="8"/>
      <c r="AK323" s="8"/>
      <c r="AL323" s="8"/>
      <c r="AM323" s="8"/>
      <c r="AN323" s="8"/>
      <c r="AO323" s="9"/>
    </row>
    <row r="324" spans="32:41" ht="15" customHeight="1" x14ac:dyDescent="0.2">
      <c r="AF324" s="4" t="s">
        <v>323</v>
      </c>
      <c r="AG324" s="5"/>
      <c r="AH324" s="5"/>
      <c r="AI324" s="5"/>
      <c r="AJ324" s="5"/>
      <c r="AK324" s="5"/>
      <c r="AL324" s="5"/>
      <c r="AM324" s="5"/>
      <c r="AN324" s="5"/>
      <c r="AO324" s="6"/>
    </row>
    <row r="325" spans="32:41" ht="15" customHeight="1" x14ac:dyDescent="0.2">
      <c r="AF325" s="4" t="s">
        <v>324</v>
      </c>
      <c r="AG325" s="5"/>
      <c r="AH325" s="5"/>
      <c r="AI325" s="8"/>
      <c r="AJ325" s="8"/>
      <c r="AK325" s="8"/>
      <c r="AL325" s="8"/>
      <c r="AM325" s="8"/>
      <c r="AN325" s="8"/>
      <c r="AO325" s="9"/>
    </row>
    <row r="326" spans="32:41" ht="15" customHeight="1" x14ac:dyDescent="0.2">
      <c r="AF326" s="4" t="s">
        <v>255</v>
      </c>
      <c r="AG326" s="5"/>
      <c r="AH326" s="5"/>
      <c r="AI326" s="5"/>
      <c r="AJ326" s="5"/>
      <c r="AK326" s="5"/>
      <c r="AL326" s="5"/>
      <c r="AM326" s="5"/>
      <c r="AN326" s="5"/>
      <c r="AO326" s="6"/>
    </row>
    <row r="327" spans="32:41" ht="15" customHeight="1" x14ac:dyDescent="0.2">
      <c r="AF327" s="4" t="s">
        <v>325</v>
      </c>
      <c r="AG327" s="5"/>
      <c r="AH327" s="5"/>
      <c r="AI327" s="8"/>
      <c r="AJ327" s="8"/>
      <c r="AK327" s="8"/>
      <c r="AL327" s="8"/>
      <c r="AM327" s="8"/>
      <c r="AN327" s="8"/>
      <c r="AO327" s="9"/>
    </row>
    <row r="328" spans="32:41" ht="15" customHeight="1" x14ac:dyDescent="0.2">
      <c r="AF328" s="7" t="s">
        <v>394</v>
      </c>
      <c r="AG328" s="8"/>
      <c r="AH328" s="8"/>
      <c r="AI328" s="5"/>
      <c r="AJ328" s="5"/>
      <c r="AK328" s="5"/>
      <c r="AL328" s="5"/>
      <c r="AM328" s="5"/>
      <c r="AN328" s="5"/>
      <c r="AO328" s="6"/>
    </row>
    <row r="329" spans="32:41" ht="15" customHeight="1" x14ac:dyDescent="0.2">
      <c r="AF329" s="4" t="s">
        <v>257</v>
      </c>
      <c r="AG329" s="5"/>
      <c r="AH329" s="5"/>
      <c r="AI329" s="5"/>
      <c r="AJ329" s="5"/>
      <c r="AK329" s="5"/>
      <c r="AL329" s="5"/>
      <c r="AM329" s="5"/>
      <c r="AN329" s="5"/>
      <c r="AO329" s="6"/>
    </row>
    <row r="330" spans="32:41" ht="15" customHeight="1" x14ac:dyDescent="0.2">
      <c r="AF330" s="4" t="s">
        <v>326</v>
      </c>
      <c r="AG330" s="5"/>
      <c r="AH330" s="5"/>
      <c r="AI330" s="5"/>
      <c r="AJ330" s="5"/>
      <c r="AK330" s="5"/>
      <c r="AL330" s="5"/>
      <c r="AM330" s="5"/>
      <c r="AN330" s="5"/>
      <c r="AO330" s="6"/>
    </row>
    <row r="331" spans="32:41" ht="15" customHeight="1" x14ac:dyDescent="0.2">
      <c r="AF331" s="4" t="s">
        <v>327</v>
      </c>
      <c r="AG331" s="5"/>
      <c r="AH331" s="5"/>
      <c r="AI331" s="5"/>
      <c r="AJ331" s="5"/>
      <c r="AK331" s="5"/>
      <c r="AL331" s="5"/>
      <c r="AM331" s="5"/>
      <c r="AN331" s="5"/>
      <c r="AO331" s="6"/>
    </row>
    <row r="332" spans="32:41" ht="15" customHeight="1" x14ac:dyDescent="0.2">
      <c r="AF332" s="4" t="s">
        <v>258</v>
      </c>
      <c r="AG332" s="5"/>
      <c r="AH332" s="5"/>
      <c r="AI332" s="8"/>
      <c r="AJ332" s="8"/>
      <c r="AK332" s="8"/>
      <c r="AL332" s="8"/>
      <c r="AM332" s="8"/>
      <c r="AN332" s="8"/>
      <c r="AO332" s="9"/>
    </row>
    <row r="333" spans="32:41" ht="15" customHeight="1" x14ac:dyDescent="0.2">
      <c r="AF333" s="4" t="s">
        <v>259</v>
      </c>
      <c r="AG333" s="5"/>
      <c r="AH333" s="5"/>
      <c r="AI333" s="5"/>
      <c r="AJ333" s="5"/>
      <c r="AK333" s="5"/>
      <c r="AL333" s="5"/>
      <c r="AM333" s="5"/>
      <c r="AN333" s="5"/>
      <c r="AO333" s="6"/>
    </row>
    <row r="334" spans="32:41" ht="15" customHeight="1" x14ac:dyDescent="0.2">
      <c r="AF334" s="4" t="s">
        <v>260</v>
      </c>
      <c r="AG334" s="5"/>
      <c r="AH334" s="5"/>
      <c r="AI334" s="5"/>
      <c r="AJ334" s="5"/>
      <c r="AK334" s="5"/>
      <c r="AL334" s="5"/>
      <c r="AM334" s="5"/>
      <c r="AN334" s="5"/>
      <c r="AO334" s="6"/>
    </row>
    <row r="335" spans="32:41" ht="15" customHeight="1" x14ac:dyDescent="0.2">
      <c r="AF335" s="7" t="s">
        <v>395</v>
      </c>
      <c r="AG335" s="8"/>
      <c r="AH335" s="8"/>
      <c r="AI335" s="5"/>
      <c r="AJ335" s="5"/>
      <c r="AK335" s="5"/>
      <c r="AL335" s="5"/>
      <c r="AM335" s="5"/>
      <c r="AN335" s="5"/>
      <c r="AO335" s="6"/>
    </row>
    <row r="336" spans="32:41" ht="15" customHeight="1" x14ac:dyDescent="0.2">
      <c r="AF336" s="4" t="s">
        <v>262</v>
      </c>
      <c r="AG336" s="5"/>
      <c r="AH336" s="5"/>
      <c r="AI336" s="5"/>
      <c r="AJ336" s="5"/>
      <c r="AK336" s="5"/>
      <c r="AL336" s="5"/>
      <c r="AM336" s="5"/>
      <c r="AN336" s="5"/>
      <c r="AO336" s="6"/>
    </row>
    <row r="337" spans="32:41" ht="15" customHeight="1" x14ac:dyDescent="0.2">
      <c r="AF337" s="4" t="s">
        <v>264</v>
      </c>
      <c r="AG337" s="5"/>
      <c r="AH337" s="5"/>
      <c r="AI337" s="5"/>
      <c r="AJ337" s="5"/>
      <c r="AK337" s="5"/>
      <c r="AL337" s="5"/>
      <c r="AM337" s="5"/>
      <c r="AN337" s="5"/>
      <c r="AO337" s="6"/>
    </row>
    <row r="338" spans="32:41" ht="15" customHeight="1" x14ac:dyDescent="0.2">
      <c r="AF338" s="4" t="s">
        <v>328</v>
      </c>
      <c r="AG338" s="5"/>
      <c r="AH338" s="5"/>
      <c r="AI338" s="5"/>
      <c r="AJ338" s="5"/>
      <c r="AK338" s="5"/>
      <c r="AL338" s="5"/>
      <c r="AM338" s="5"/>
      <c r="AN338" s="5"/>
      <c r="AO338" s="6"/>
    </row>
    <row r="339" spans="32:41" ht="15" customHeight="1" x14ac:dyDescent="0.2">
      <c r="AF339" s="4" t="s">
        <v>266</v>
      </c>
      <c r="AG339" s="5"/>
      <c r="AH339" s="5"/>
      <c r="AI339" s="8"/>
      <c r="AJ339" s="8"/>
      <c r="AK339" s="8"/>
      <c r="AL339" s="8"/>
      <c r="AM339" s="8"/>
      <c r="AN339" s="8"/>
      <c r="AO339" s="9"/>
    </row>
    <row r="340" spans="32:41" ht="15" customHeight="1" x14ac:dyDescent="0.2">
      <c r="AF340" s="4" t="s">
        <v>268</v>
      </c>
      <c r="AG340" s="5"/>
      <c r="AH340" s="5"/>
      <c r="AI340" s="5"/>
      <c r="AJ340" s="5"/>
      <c r="AK340" s="5"/>
      <c r="AL340" s="5"/>
      <c r="AM340" s="5"/>
      <c r="AN340" s="5"/>
      <c r="AO340" s="6"/>
    </row>
    <row r="341" spans="32:41" ht="15" customHeight="1" x14ac:dyDescent="0.2">
      <c r="AF341" s="4" t="s">
        <v>269</v>
      </c>
      <c r="AG341" s="5"/>
      <c r="AH341" s="5"/>
      <c r="AI341" s="5"/>
      <c r="AJ341" s="5"/>
      <c r="AK341" s="5"/>
      <c r="AL341" s="5"/>
      <c r="AM341" s="5"/>
      <c r="AN341" s="5"/>
      <c r="AO341" s="6"/>
    </row>
    <row r="342" spans="32:41" ht="15" customHeight="1" x14ac:dyDescent="0.2">
      <c r="AF342" s="4" t="s">
        <v>270</v>
      </c>
      <c r="AG342" s="5"/>
      <c r="AH342" s="5"/>
      <c r="AI342" s="5"/>
      <c r="AJ342" s="5"/>
      <c r="AK342" s="5"/>
      <c r="AL342" s="5"/>
      <c r="AM342" s="5"/>
      <c r="AN342" s="5"/>
      <c r="AO342" s="6"/>
    </row>
    <row r="343" spans="32:41" ht="15" customHeight="1" x14ac:dyDescent="0.2">
      <c r="AF343" s="4" t="s">
        <v>271</v>
      </c>
      <c r="AG343" s="5"/>
      <c r="AH343" s="5"/>
      <c r="AI343" s="5"/>
      <c r="AJ343" s="5"/>
      <c r="AK343" s="5"/>
      <c r="AL343" s="5"/>
      <c r="AM343" s="5"/>
      <c r="AN343" s="5"/>
      <c r="AO343" s="6"/>
    </row>
    <row r="344" spans="32:41" ht="15" customHeight="1" x14ac:dyDescent="0.2">
      <c r="AF344" s="4" t="s">
        <v>329</v>
      </c>
      <c r="AG344" s="5"/>
      <c r="AH344" s="5"/>
      <c r="AI344" s="5"/>
      <c r="AJ344" s="5"/>
      <c r="AK344" s="5"/>
      <c r="AL344" s="5"/>
      <c r="AM344" s="5"/>
      <c r="AN344" s="5"/>
      <c r="AO344" s="6"/>
    </row>
    <row r="345" spans="32:41" ht="15" customHeight="1" x14ac:dyDescent="0.2">
      <c r="AF345" s="4" t="s">
        <v>330</v>
      </c>
      <c r="AG345" s="5"/>
      <c r="AH345" s="5"/>
      <c r="AI345" s="5"/>
      <c r="AJ345" s="5"/>
      <c r="AK345" s="5"/>
      <c r="AL345" s="5"/>
      <c r="AM345" s="5"/>
      <c r="AN345" s="5"/>
      <c r="AO345" s="6"/>
    </row>
    <row r="346" spans="32:41" ht="15" customHeight="1" x14ac:dyDescent="0.2">
      <c r="AF346" s="4" t="s">
        <v>273</v>
      </c>
      <c r="AG346" s="5"/>
      <c r="AH346" s="5"/>
      <c r="AI346" s="5"/>
      <c r="AJ346" s="5"/>
      <c r="AK346" s="5"/>
      <c r="AL346" s="5"/>
      <c r="AM346" s="5"/>
      <c r="AN346" s="5"/>
      <c r="AO346" s="6"/>
    </row>
    <row r="347" spans="32:41" ht="15" customHeight="1" x14ac:dyDescent="0.2">
      <c r="AF347" s="4" t="s">
        <v>274</v>
      </c>
      <c r="AG347" s="5"/>
      <c r="AH347" s="5"/>
      <c r="AI347" s="5"/>
      <c r="AJ347" s="5"/>
      <c r="AK347" s="5"/>
      <c r="AL347" s="5"/>
      <c r="AM347" s="5"/>
      <c r="AN347" s="5"/>
      <c r="AO347" s="6"/>
    </row>
    <row r="348" spans="32:41" ht="15" customHeight="1" x14ac:dyDescent="0.2">
      <c r="AF348" s="4" t="s">
        <v>275</v>
      </c>
      <c r="AG348" s="5"/>
      <c r="AH348" s="5"/>
      <c r="AI348" s="5"/>
      <c r="AJ348" s="5"/>
      <c r="AK348" s="5"/>
      <c r="AL348" s="5"/>
      <c r="AM348" s="5"/>
      <c r="AN348" s="5"/>
      <c r="AO348" s="6"/>
    </row>
    <row r="349" spans="32:41" ht="15" customHeight="1" x14ac:dyDescent="0.2">
      <c r="AF349" s="4" t="s">
        <v>277</v>
      </c>
      <c r="AG349" s="5"/>
      <c r="AH349" s="5"/>
      <c r="AI349" s="5"/>
      <c r="AJ349" s="5"/>
      <c r="AK349" s="5"/>
      <c r="AL349" s="5"/>
      <c r="AM349" s="5"/>
      <c r="AN349" s="5"/>
      <c r="AO349" s="6"/>
    </row>
    <row r="350" spans="32:41" ht="15" customHeight="1" x14ac:dyDescent="0.2">
      <c r="AF350" s="4" t="s">
        <v>331</v>
      </c>
      <c r="AG350" s="5"/>
      <c r="AH350" s="5"/>
      <c r="AI350" s="5"/>
      <c r="AJ350" s="5"/>
      <c r="AK350" s="5"/>
      <c r="AL350" s="5"/>
      <c r="AM350" s="5"/>
      <c r="AN350" s="5"/>
      <c r="AO350" s="6"/>
    </row>
    <row r="351" spans="32:41" ht="15" customHeight="1" x14ac:dyDescent="0.2">
      <c r="AF351" s="7" t="s">
        <v>396</v>
      </c>
      <c r="AG351" s="8"/>
      <c r="AH351" s="8"/>
      <c r="AI351" s="5"/>
      <c r="AJ351" s="5"/>
      <c r="AK351" s="5"/>
      <c r="AL351" s="5"/>
      <c r="AM351" s="5"/>
      <c r="AN351" s="5"/>
      <c r="AO351" s="6"/>
    </row>
    <row r="352" spans="32:41" ht="15" customHeight="1" x14ac:dyDescent="0.2">
      <c r="AF352" s="4" t="s">
        <v>332</v>
      </c>
      <c r="AG352" s="5"/>
      <c r="AH352" s="5"/>
      <c r="AI352" s="5"/>
      <c r="AJ352" s="5"/>
      <c r="AK352" s="5"/>
      <c r="AL352" s="5"/>
      <c r="AM352" s="5"/>
      <c r="AN352" s="5"/>
      <c r="AO352" s="6"/>
    </row>
    <row r="353" spans="32:41" ht="15" customHeight="1" x14ac:dyDescent="0.2">
      <c r="AF353" s="7" t="s">
        <v>397</v>
      </c>
      <c r="AG353" s="8"/>
      <c r="AH353" s="8"/>
      <c r="AI353" s="5"/>
      <c r="AJ353" s="5"/>
      <c r="AK353" s="5"/>
      <c r="AL353" s="5"/>
      <c r="AM353" s="5"/>
      <c r="AN353" s="5"/>
      <c r="AO353" s="6"/>
    </row>
    <row r="354" spans="32:41" ht="15" customHeight="1" x14ac:dyDescent="0.2">
      <c r="AF354" s="4" t="s">
        <v>333</v>
      </c>
      <c r="AG354" s="5"/>
      <c r="AH354" s="5"/>
      <c r="AI354" s="5"/>
      <c r="AJ354" s="5"/>
      <c r="AK354" s="5"/>
      <c r="AL354" s="5"/>
      <c r="AM354" s="5"/>
      <c r="AN354" s="5"/>
      <c r="AO354" s="6"/>
    </row>
    <row r="355" spans="32:41" ht="15" customHeight="1" x14ac:dyDescent="0.2">
      <c r="AF355" s="4" t="s">
        <v>334</v>
      </c>
      <c r="AG355" s="5"/>
      <c r="AH355" s="5"/>
      <c r="AI355" s="8"/>
      <c r="AJ355" s="8"/>
      <c r="AK355" s="8"/>
      <c r="AL355" s="8"/>
      <c r="AM355" s="8"/>
      <c r="AN355" s="8"/>
      <c r="AO355" s="9"/>
    </row>
    <row r="356" spans="32:41" ht="15" customHeight="1" x14ac:dyDescent="0.2">
      <c r="AF356" s="4" t="s">
        <v>278</v>
      </c>
      <c r="AG356" s="5"/>
      <c r="AH356" s="5"/>
      <c r="AI356" s="5"/>
      <c r="AJ356" s="5"/>
      <c r="AK356" s="5"/>
      <c r="AL356" s="5"/>
      <c r="AM356" s="5"/>
      <c r="AN356" s="5"/>
      <c r="AO356" s="6"/>
    </row>
    <row r="357" spans="32:41" ht="15" customHeight="1" x14ac:dyDescent="0.2">
      <c r="AF357" s="4" t="s">
        <v>335</v>
      </c>
      <c r="AG357" s="5"/>
      <c r="AH357" s="5"/>
      <c r="AI357" s="8"/>
      <c r="AJ357" s="8"/>
      <c r="AK357" s="8"/>
      <c r="AL357" s="8"/>
      <c r="AM357" s="8"/>
      <c r="AN357" s="8"/>
      <c r="AO357" s="9"/>
    </row>
    <row r="358" spans="32:41" ht="15" customHeight="1" x14ac:dyDescent="0.2">
      <c r="AF358" s="4" t="s">
        <v>279</v>
      </c>
      <c r="AG358" s="5"/>
      <c r="AH358" s="5"/>
      <c r="AI358" s="5"/>
      <c r="AJ358" s="5"/>
      <c r="AK358" s="5"/>
      <c r="AL358" s="5"/>
      <c r="AM358" s="5"/>
      <c r="AN358" s="5"/>
      <c r="AO358" s="6"/>
    </row>
    <row r="359" spans="32:41" ht="15" customHeight="1" x14ac:dyDescent="0.2">
      <c r="AF359" s="4" t="s">
        <v>281</v>
      </c>
      <c r="AG359" s="5"/>
      <c r="AH359" s="5"/>
      <c r="AI359" s="5"/>
      <c r="AJ359" s="5"/>
      <c r="AK359" s="5"/>
      <c r="AL359" s="5"/>
      <c r="AM359" s="5"/>
      <c r="AN359" s="5"/>
      <c r="AO359" s="6"/>
    </row>
    <row r="360" spans="32:41" ht="15" customHeight="1" x14ac:dyDescent="0.2">
      <c r="AF360" s="4" t="s">
        <v>282</v>
      </c>
      <c r="AG360" s="5"/>
      <c r="AH360" s="5"/>
      <c r="AI360" s="5"/>
      <c r="AJ360" s="5"/>
      <c r="AK360" s="5"/>
      <c r="AL360" s="5"/>
      <c r="AM360" s="5"/>
      <c r="AN360" s="5"/>
      <c r="AO360" s="6"/>
    </row>
    <row r="361" spans="32:41" ht="15" customHeight="1" x14ac:dyDescent="0.2">
      <c r="AF361" s="4" t="s">
        <v>336</v>
      </c>
      <c r="AG361" s="5"/>
      <c r="AH361" s="5"/>
      <c r="AI361" s="5"/>
      <c r="AJ361" s="5"/>
      <c r="AK361" s="5"/>
      <c r="AL361" s="5"/>
      <c r="AM361" s="5"/>
      <c r="AN361" s="5"/>
      <c r="AO361" s="6"/>
    </row>
    <row r="362" spans="32:41" ht="15" customHeight="1" x14ac:dyDescent="0.2">
      <c r="AF362" s="7" t="s">
        <v>398</v>
      </c>
      <c r="AG362" s="8"/>
      <c r="AH362" s="8"/>
      <c r="AI362" s="5"/>
      <c r="AJ362" s="5"/>
      <c r="AK362" s="5"/>
      <c r="AL362" s="5"/>
      <c r="AM362" s="5"/>
      <c r="AN362" s="5"/>
      <c r="AO362" s="6"/>
    </row>
    <row r="363" spans="32:41" ht="15" customHeight="1" x14ac:dyDescent="0.2">
      <c r="AF363" s="4" t="s">
        <v>283</v>
      </c>
      <c r="AG363" s="5"/>
      <c r="AH363" s="5"/>
      <c r="AI363" s="5"/>
      <c r="AJ363" s="5"/>
      <c r="AK363" s="5"/>
      <c r="AL363" s="5"/>
      <c r="AM363" s="5"/>
      <c r="AN363" s="5"/>
      <c r="AO363" s="6"/>
    </row>
    <row r="364" spans="32:41" ht="15" customHeight="1" x14ac:dyDescent="0.2">
      <c r="AF364" s="4" t="s">
        <v>284</v>
      </c>
      <c r="AG364" s="5"/>
      <c r="AH364" s="5"/>
      <c r="AI364" s="5"/>
      <c r="AJ364" s="5"/>
      <c r="AK364" s="5"/>
      <c r="AL364" s="5"/>
      <c r="AM364" s="5"/>
      <c r="AN364" s="5"/>
      <c r="AO364" s="6"/>
    </row>
    <row r="365" spans="32:41" ht="15" customHeight="1" x14ac:dyDescent="0.2">
      <c r="AF365" s="4" t="s">
        <v>337</v>
      </c>
      <c r="AG365" s="5"/>
      <c r="AH365" s="5"/>
      <c r="AI365" s="5"/>
      <c r="AJ365" s="5"/>
      <c r="AK365" s="5"/>
      <c r="AL365" s="5"/>
      <c r="AM365" s="5"/>
      <c r="AN365" s="5"/>
      <c r="AO365" s="6"/>
    </row>
    <row r="366" spans="32:41" ht="15" customHeight="1" x14ac:dyDescent="0.2">
      <c r="AF366" s="4" t="s">
        <v>285</v>
      </c>
      <c r="AG366" s="5"/>
      <c r="AH366" s="5"/>
      <c r="AI366" s="8"/>
      <c r="AJ366" s="8"/>
      <c r="AK366" s="8"/>
      <c r="AL366" s="8"/>
      <c r="AM366" s="8"/>
      <c r="AN366" s="8"/>
      <c r="AO366" s="9"/>
    </row>
    <row r="367" spans="32:41" ht="15" customHeight="1" x14ac:dyDescent="0.2">
      <c r="AF367" s="4" t="s">
        <v>286</v>
      </c>
      <c r="AG367" s="5"/>
      <c r="AH367" s="5"/>
      <c r="AI367" s="5"/>
      <c r="AJ367" s="5"/>
      <c r="AK367" s="5"/>
      <c r="AL367" s="5"/>
      <c r="AM367" s="5"/>
      <c r="AN367" s="5"/>
      <c r="AO367" s="6"/>
    </row>
    <row r="368" spans="32:41" ht="15" customHeight="1" x14ac:dyDescent="0.2">
      <c r="AF368" s="7" t="s">
        <v>399</v>
      </c>
      <c r="AG368" s="8"/>
      <c r="AH368" s="8"/>
      <c r="AI368" s="5"/>
      <c r="AJ368" s="5"/>
      <c r="AK368" s="5"/>
      <c r="AL368" s="5"/>
      <c r="AM368" s="5"/>
      <c r="AN368" s="5"/>
      <c r="AO368" s="6"/>
    </row>
    <row r="369" spans="32:41" ht="15" customHeight="1" x14ac:dyDescent="0.2">
      <c r="AF369" s="7" t="s">
        <v>400</v>
      </c>
      <c r="AG369" s="8"/>
      <c r="AH369" s="8"/>
      <c r="AI369" s="5"/>
      <c r="AJ369" s="5"/>
      <c r="AK369" s="5"/>
      <c r="AL369" s="5"/>
      <c r="AM369" s="5"/>
      <c r="AN369" s="5"/>
      <c r="AO369" s="6"/>
    </row>
    <row r="370" spans="32:41" ht="15" customHeight="1" x14ac:dyDescent="0.2">
      <c r="AF370" s="4" t="s">
        <v>288</v>
      </c>
      <c r="AG370" s="5"/>
      <c r="AH370" s="5"/>
      <c r="AI370" s="5"/>
      <c r="AJ370" s="5"/>
      <c r="AK370" s="5"/>
      <c r="AL370" s="5"/>
      <c r="AM370" s="5"/>
      <c r="AN370" s="5"/>
      <c r="AO370" s="6"/>
    </row>
    <row r="371" spans="32:41" ht="15" customHeight="1" x14ac:dyDescent="0.2">
      <c r="AF371" s="7" t="s">
        <v>401</v>
      </c>
      <c r="AG371" s="8"/>
      <c r="AH371" s="8"/>
      <c r="AI371" s="5"/>
      <c r="AJ371" s="5"/>
      <c r="AK371" s="5"/>
      <c r="AL371" s="5"/>
      <c r="AM371" s="5"/>
      <c r="AN371" s="5"/>
      <c r="AO371" s="6"/>
    </row>
    <row r="372" spans="32:41" ht="15" customHeight="1" x14ac:dyDescent="0.2">
      <c r="AF372" s="4" t="s">
        <v>338</v>
      </c>
      <c r="AG372" s="5"/>
      <c r="AH372" s="5"/>
      <c r="AI372" s="8"/>
      <c r="AJ372" s="8"/>
      <c r="AK372" s="8"/>
      <c r="AL372" s="8"/>
      <c r="AM372" s="8"/>
      <c r="AN372" s="8"/>
      <c r="AO372" s="9"/>
    </row>
    <row r="373" spans="32:41" ht="15" customHeight="1" x14ac:dyDescent="0.2">
      <c r="AF373" s="4" t="s">
        <v>339</v>
      </c>
      <c r="AG373" s="5"/>
      <c r="AH373" s="5"/>
      <c r="AI373" s="8"/>
      <c r="AJ373" s="8"/>
      <c r="AK373" s="8"/>
      <c r="AL373" s="8"/>
      <c r="AM373" s="8"/>
      <c r="AN373" s="8"/>
      <c r="AO373" s="9"/>
    </row>
    <row r="374" spans="32:41" ht="15" customHeight="1" x14ac:dyDescent="0.2">
      <c r="AF374" s="7" t="s">
        <v>402</v>
      </c>
      <c r="AG374" s="8"/>
      <c r="AH374" s="8"/>
      <c r="AI374" s="5"/>
      <c r="AJ374" s="5"/>
      <c r="AK374" s="5"/>
      <c r="AL374" s="5"/>
      <c r="AM374" s="5"/>
      <c r="AN374" s="5"/>
      <c r="AO374" s="6"/>
    </row>
    <row r="375" spans="32:41" ht="15" customHeight="1" x14ac:dyDescent="0.2">
      <c r="AF375" s="4" t="s">
        <v>340</v>
      </c>
      <c r="AG375" s="5"/>
      <c r="AH375" s="5"/>
      <c r="AI375" s="8"/>
      <c r="AJ375" s="8"/>
      <c r="AK375" s="8"/>
      <c r="AL375" s="8"/>
      <c r="AM375" s="8"/>
      <c r="AN375" s="8"/>
      <c r="AO375" s="9"/>
    </row>
    <row r="376" spans="32:41" ht="15" customHeight="1" x14ac:dyDescent="0.2">
      <c r="AI376" s="5"/>
      <c r="AJ376" s="5"/>
      <c r="AK376" s="5"/>
      <c r="AL376" s="5"/>
      <c r="AM376" s="5"/>
      <c r="AN376" s="5"/>
      <c r="AO376" s="6"/>
    </row>
    <row r="377" spans="32:41" ht="15" customHeight="1" x14ac:dyDescent="0.2">
      <c r="AI377" s="5"/>
      <c r="AJ377" s="5"/>
      <c r="AK377" s="5"/>
      <c r="AL377" s="5"/>
      <c r="AM377" s="5"/>
      <c r="AN377" s="5"/>
      <c r="AO377" s="6"/>
    </row>
    <row r="378" spans="32:41" ht="15" customHeight="1" x14ac:dyDescent="0.2">
      <c r="AI378" s="8"/>
      <c r="AJ378" s="8"/>
      <c r="AK378" s="8"/>
      <c r="AL378" s="8"/>
      <c r="AM378" s="8"/>
      <c r="AN378" s="8"/>
      <c r="AO378" s="9"/>
    </row>
    <row r="379" spans="32:41" ht="15" customHeight="1" x14ac:dyDescent="0.2">
      <c r="AI379" s="5"/>
      <c r="AJ379" s="5"/>
      <c r="AK379" s="5"/>
      <c r="AL379" s="5"/>
      <c r="AM379" s="5"/>
      <c r="AN379" s="5"/>
      <c r="AO379" s="6"/>
    </row>
  </sheetData>
  <sheetProtection algorithmName="SHA-512" hashValue="0N/Jq/PqfVa4N10cJcpV+ceK+ed1XK4IXdCmT43/3nqga2h2zWQtUDQQ6r+EVuCwMdf2jLAhlS5/p5muqPw+Ww==" saltValue="vvXge9hI7s88dLpnOawT0Q==" spinCount="100000" sheet="1" selectLockedCells="1"/>
  <mergeCells count="335">
    <mergeCell ref="DO10:DO11"/>
    <mergeCell ref="CB102:CK102"/>
    <mergeCell ref="CC44:CE44"/>
    <mergeCell ref="DN10:DN11"/>
    <mergeCell ref="DM10:DM11"/>
    <mergeCell ref="DK10:DK11"/>
    <mergeCell ref="DL10:DL11"/>
    <mergeCell ref="F70:I70"/>
    <mergeCell ref="B69:Q69"/>
    <mergeCell ref="J68:K68"/>
    <mergeCell ref="B68:E68"/>
    <mergeCell ref="F72:I72"/>
    <mergeCell ref="B67:Q67"/>
    <mergeCell ref="F66:I66"/>
    <mergeCell ref="B66:E66"/>
    <mergeCell ref="J66:K66"/>
    <mergeCell ref="B65:Q65"/>
    <mergeCell ref="F68:I68"/>
    <mergeCell ref="B64:E64"/>
    <mergeCell ref="J64:K64"/>
    <mergeCell ref="F64:I64"/>
    <mergeCell ref="D41:AC42"/>
    <mergeCell ref="R53:W53"/>
    <mergeCell ref="R54:W54"/>
    <mergeCell ref="B40:C40"/>
    <mergeCell ref="B41:C45"/>
    <mergeCell ref="CM99:CN99"/>
    <mergeCell ref="CM98:CR98"/>
    <mergeCell ref="CP44:CY44"/>
    <mergeCell ref="CF44:CO44"/>
    <mergeCell ref="CB43:CY43"/>
    <mergeCell ref="BD53:BM53"/>
    <mergeCell ref="CO99:CP99"/>
    <mergeCell ref="CQ99:CR99"/>
    <mergeCell ref="B61:Q61"/>
    <mergeCell ref="B59:Q59"/>
    <mergeCell ref="B57:Q57"/>
    <mergeCell ref="B55:Q55"/>
    <mergeCell ref="F50:I50"/>
    <mergeCell ref="J50:K50"/>
    <mergeCell ref="B51:Q51"/>
    <mergeCell ref="R47:W47"/>
    <mergeCell ref="R49:W49"/>
    <mergeCell ref="B46:E46"/>
    <mergeCell ref="B48:E48"/>
    <mergeCell ref="B49:Q49"/>
    <mergeCell ref="K11:T11"/>
    <mergeCell ref="W11:Y11"/>
    <mergeCell ref="R51:W51"/>
    <mergeCell ref="J52:K52"/>
    <mergeCell ref="J48:K48"/>
    <mergeCell ref="F48:I48"/>
    <mergeCell ref="B47:Q47"/>
    <mergeCell ref="AF11:AO11"/>
    <mergeCell ref="AR11:BA11"/>
    <mergeCell ref="B15:D15"/>
    <mergeCell ref="B17:D17"/>
    <mergeCell ref="N17:P17"/>
    <mergeCell ref="B18:D18"/>
    <mergeCell ref="B19:AC19"/>
    <mergeCell ref="B20:O20"/>
    <mergeCell ref="P20:AC20"/>
    <mergeCell ref="Z11:AC18"/>
    <mergeCell ref="E14:M14"/>
    <mergeCell ref="E15:M15"/>
    <mergeCell ref="E16:M16"/>
    <mergeCell ref="E17:M17"/>
    <mergeCell ref="Q14:Y14"/>
    <mergeCell ref="J46:K46"/>
    <mergeCell ref="F46:I46"/>
    <mergeCell ref="DJ10:DJ11"/>
    <mergeCell ref="DD10:DD12"/>
    <mergeCell ref="DF10:DF11"/>
    <mergeCell ref="DB10:DB12"/>
    <mergeCell ref="DC10:DC12"/>
    <mergeCell ref="DA10:DA12"/>
    <mergeCell ref="DE10:DE12"/>
    <mergeCell ref="DI10:DI11"/>
    <mergeCell ref="DG10:DG11"/>
    <mergeCell ref="BV23:BY23"/>
    <mergeCell ref="BV26:BY26"/>
    <mergeCell ref="BP21:BY21"/>
    <mergeCell ref="BD11:BM11"/>
    <mergeCell ref="BD14:BM14"/>
    <mergeCell ref="BD22:BM22"/>
    <mergeCell ref="BD25:BM25"/>
    <mergeCell ref="BD20:BM20"/>
    <mergeCell ref="DH10:DH11"/>
    <mergeCell ref="CZ10:CZ12"/>
    <mergeCell ref="CB11:CQ11"/>
    <mergeCell ref="BP11:BY11"/>
    <mergeCell ref="BP14:BY14"/>
    <mergeCell ref="BD16:BM16"/>
    <mergeCell ref="BP23:BU23"/>
    <mergeCell ref="AR156:BA156"/>
    <mergeCell ref="BD90:BM90"/>
    <mergeCell ref="BD87:BM87"/>
    <mergeCell ref="BD92:BM92"/>
    <mergeCell ref="BD95:BM95"/>
    <mergeCell ref="BD68:BM68"/>
    <mergeCell ref="BD70:BM70"/>
    <mergeCell ref="BD27:BM27"/>
    <mergeCell ref="BP26:BU26"/>
    <mergeCell ref="BD33:BI33"/>
    <mergeCell ref="E26:O26"/>
    <mergeCell ref="P26:Q26"/>
    <mergeCell ref="B23:D23"/>
    <mergeCell ref="B21:D21"/>
    <mergeCell ref="E21:O21"/>
    <mergeCell ref="P21:U21"/>
    <mergeCell ref="V21:AC21"/>
    <mergeCell ref="V23:AC23"/>
    <mergeCell ref="B24:D24"/>
    <mergeCell ref="V22:AC22"/>
    <mergeCell ref="B26:D26"/>
    <mergeCell ref="B25:D25"/>
    <mergeCell ref="E25:O25"/>
    <mergeCell ref="P25:U25"/>
    <mergeCell ref="V25:X25"/>
    <mergeCell ref="Z25:AC25"/>
    <mergeCell ref="B22:D22"/>
    <mergeCell ref="E22:O22"/>
    <mergeCell ref="P22:U22"/>
    <mergeCell ref="E18:G18"/>
    <mergeCell ref="J18:M18"/>
    <mergeCell ref="H18:I18"/>
    <mergeCell ref="Q17:Y17"/>
    <mergeCell ref="X12:Y12"/>
    <mergeCell ref="N14:P14"/>
    <mergeCell ref="B13:M13"/>
    <mergeCell ref="N13:Y13"/>
    <mergeCell ref="N15:P15"/>
    <mergeCell ref="B16:D16"/>
    <mergeCell ref="N16:P16"/>
    <mergeCell ref="B12:D12"/>
    <mergeCell ref="L12:O12"/>
    <mergeCell ref="P12:U12"/>
    <mergeCell ref="V12:W12"/>
    <mergeCell ref="E12:K12"/>
    <mergeCell ref="Q18:S18"/>
    <mergeCell ref="T18:U18"/>
    <mergeCell ref="V18:Y18"/>
    <mergeCell ref="B14:D14"/>
    <mergeCell ref="Q15:Y15"/>
    <mergeCell ref="Q16:Y16"/>
    <mergeCell ref="N18:P18"/>
    <mergeCell ref="J54:K54"/>
    <mergeCell ref="B53:Q53"/>
    <mergeCell ref="E24:O24"/>
    <mergeCell ref="P24:U24"/>
    <mergeCell ref="V24:AC24"/>
    <mergeCell ref="E23:O23"/>
    <mergeCell ref="P23:U23"/>
    <mergeCell ref="R26:AC26"/>
    <mergeCell ref="Z28:AC28"/>
    <mergeCell ref="Z31:AA31"/>
    <mergeCell ref="B28:L28"/>
    <mergeCell ref="R46:W46"/>
    <mergeCell ref="R48:W48"/>
    <mergeCell ref="R50:W50"/>
    <mergeCell ref="B52:E52"/>
    <mergeCell ref="F52:I52"/>
    <mergeCell ref="B50:E50"/>
    <mergeCell ref="D44:AC45"/>
    <mergeCell ref="D43:AC43"/>
    <mergeCell ref="X40:Y40"/>
    <mergeCell ref="M39:Z39"/>
    <mergeCell ref="J40:K40"/>
    <mergeCell ref="B39:C39"/>
    <mergeCell ref="B38:C38"/>
    <mergeCell ref="BD38:BG38"/>
    <mergeCell ref="EQ29:EW29"/>
    <mergeCell ref="CB80:CK80"/>
    <mergeCell ref="CB83:CK83"/>
    <mergeCell ref="CB85:CK85"/>
    <mergeCell ref="CG77:CI77"/>
    <mergeCell ref="CB96:CK96"/>
    <mergeCell ref="CB97:CK97"/>
    <mergeCell ref="CB91:CK91"/>
    <mergeCell ref="CG81:CI81"/>
    <mergeCell ref="CG82:CI82"/>
    <mergeCell ref="CG92:CI92"/>
    <mergeCell ref="CG93:CI93"/>
    <mergeCell ref="CG94:CI94"/>
    <mergeCell ref="DD59:DG59"/>
    <mergeCell ref="DD65:DG65"/>
    <mergeCell ref="CG76:CI76"/>
    <mergeCell ref="CB75:CK75"/>
    <mergeCell ref="CB78:CK78"/>
    <mergeCell ref="BP191:BY191"/>
    <mergeCell ref="BP122:BY122"/>
    <mergeCell ref="BX36:BY36"/>
    <mergeCell ref="BP41:BY41"/>
    <mergeCell ref="BP44:BY44"/>
    <mergeCell ref="BP95:BY95"/>
    <mergeCell ref="BX37:BY37"/>
    <mergeCell ref="BX38:BY38"/>
    <mergeCell ref="BP57:BY57"/>
    <mergeCell ref="BP55:BY55"/>
    <mergeCell ref="BP52:BY52"/>
    <mergeCell ref="BP50:BY50"/>
    <mergeCell ref="BP46:BY46"/>
    <mergeCell ref="BP145:BY145"/>
    <mergeCell ref="BP168:BY168"/>
    <mergeCell ref="FD40:FG40"/>
    <mergeCell ref="BD100:BM100"/>
    <mergeCell ref="BD97:BM97"/>
    <mergeCell ref="BP70:BY70"/>
    <mergeCell ref="BP66:BY66"/>
    <mergeCell ref="BP65:BY65"/>
    <mergeCell ref="BP63:BY63"/>
    <mergeCell ref="BP60:BY60"/>
    <mergeCell ref="BP58:BY58"/>
    <mergeCell ref="BD80:BM80"/>
    <mergeCell ref="BD82:BM82"/>
    <mergeCell ref="BD85:BM85"/>
    <mergeCell ref="BD56:BI56"/>
    <mergeCell ref="BD57:BG57"/>
    <mergeCell ref="BD58:BM58"/>
    <mergeCell ref="BD60:BM60"/>
    <mergeCell ref="CB90:CK90"/>
    <mergeCell ref="BD55:BM55"/>
    <mergeCell ref="BD77:BM77"/>
    <mergeCell ref="CG100:CI100"/>
    <mergeCell ref="CG98:CI98"/>
    <mergeCell ref="CG99:CI99"/>
    <mergeCell ref="CM100:CR100"/>
    <mergeCell ref="BD75:BM75"/>
    <mergeCell ref="B54:E54"/>
    <mergeCell ref="F54:I54"/>
    <mergeCell ref="BD30:BM30"/>
    <mergeCell ref="BP29:BY29"/>
    <mergeCell ref="BX30:BY30"/>
    <mergeCell ref="BX31:BY31"/>
    <mergeCell ref="BX32:BY32"/>
    <mergeCell ref="BD32:BM32"/>
    <mergeCell ref="DU14:FB15"/>
    <mergeCell ref="BX39:BY39"/>
    <mergeCell ref="DU29:EO29"/>
    <mergeCell ref="BV25:BY25"/>
    <mergeCell ref="BP25:BU25"/>
    <mergeCell ref="BV24:BY24"/>
    <mergeCell ref="BP24:BU24"/>
    <mergeCell ref="BV22:BY22"/>
    <mergeCell ref="BP22:BU22"/>
    <mergeCell ref="DU21:FB24"/>
    <mergeCell ref="BP16:BY16"/>
    <mergeCell ref="BP19:BY19"/>
    <mergeCell ref="BX33:BY33"/>
    <mergeCell ref="BP35:BY35"/>
    <mergeCell ref="BP27:BU27"/>
    <mergeCell ref="BV27:BY27"/>
    <mergeCell ref="AA40:AB40"/>
    <mergeCell ref="AA38:AB38"/>
    <mergeCell ref="D38:E38"/>
    <mergeCell ref="D40:E40"/>
    <mergeCell ref="D39:E39"/>
    <mergeCell ref="AA39:AB39"/>
    <mergeCell ref="M40:W40"/>
    <mergeCell ref="M38:Z38"/>
    <mergeCell ref="G39:I39"/>
    <mergeCell ref="G40:I40"/>
    <mergeCell ref="J38:K38"/>
    <mergeCell ref="J39:K39"/>
    <mergeCell ref="G38:I38"/>
    <mergeCell ref="R37:Z37"/>
    <mergeCell ref="B37:L37"/>
    <mergeCell ref="M37:Q37"/>
    <mergeCell ref="B36:R36"/>
    <mergeCell ref="B33:AC34"/>
    <mergeCell ref="B35:AC35"/>
    <mergeCell ref="B31:Y31"/>
    <mergeCell ref="Z32:AA32"/>
    <mergeCell ref="B32:Y32"/>
    <mergeCell ref="AB32:AC32"/>
    <mergeCell ref="AB31:AC31"/>
    <mergeCell ref="AA37:AB37"/>
    <mergeCell ref="S36:AC36"/>
    <mergeCell ref="B30:AC30"/>
    <mergeCell ref="V29:AC29"/>
    <mergeCell ref="H29:O29"/>
    <mergeCell ref="B29:G29"/>
    <mergeCell ref="V28:X28"/>
    <mergeCell ref="V27:X27"/>
    <mergeCell ref="P27:U27"/>
    <mergeCell ref="E27:O27"/>
    <mergeCell ref="B27:D27"/>
    <mergeCell ref="Z27:AC27"/>
    <mergeCell ref="P29:U29"/>
    <mergeCell ref="J58:K58"/>
    <mergeCell ref="B58:E58"/>
    <mergeCell ref="F58:I58"/>
    <mergeCell ref="J56:K56"/>
    <mergeCell ref="B56:E56"/>
    <mergeCell ref="F56:I56"/>
    <mergeCell ref="R70:W70"/>
    <mergeCell ref="R65:W65"/>
    <mergeCell ref="R67:W67"/>
    <mergeCell ref="R68:W68"/>
    <mergeCell ref="B72:E72"/>
    <mergeCell ref="J72:K72"/>
    <mergeCell ref="B71:Q71"/>
    <mergeCell ref="B70:E70"/>
    <mergeCell ref="J70:K70"/>
    <mergeCell ref="R74:W74"/>
    <mergeCell ref="B75:Q75"/>
    <mergeCell ref="B74:E74"/>
    <mergeCell ref="J74:K74"/>
    <mergeCell ref="F74:I74"/>
    <mergeCell ref="R75:W75"/>
    <mergeCell ref="R72:W72"/>
    <mergeCell ref="R71:W71"/>
    <mergeCell ref="R73:W73"/>
    <mergeCell ref="R69:W69"/>
    <mergeCell ref="A1:AC10"/>
    <mergeCell ref="J60:K60"/>
    <mergeCell ref="F60:I60"/>
    <mergeCell ref="B60:E60"/>
    <mergeCell ref="B63:Q63"/>
    <mergeCell ref="F62:I62"/>
    <mergeCell ref="J62:K62"/>
    <mergeCell ref="B62:E62"/>
    <mergeCell ref="R63:W63"/>
    <mergeCell ref="R60:W60"/>
    <mergeCell ref="R61:W61"/>
    <mergeCell ref="R57:W57"/>
    <mergeCell ref="R59:W59"/>
    <mergeCell ref="R58:W58"/>
    <mergeCell ref="R62:W62"/>
    <mergeCell ref="R52:W52"/>
    <mergeCell ref="R66:W66"/>
    <mergeCell ref="R64:W64"/>
    <mergeCell ref="R56:W56"/>
    <mergeCell ref="R55:W55"/>
    <mergeCell ref="B73:Q73"/>
  </mergeCells>
  <conditionalFormatting sqref="B33">
    <cfRule type="cellIs" dxfId="46" priority="46" operator="equal">
      <formula>"Lüftungstechnische Massnahmen sind nach DIN 1946-6 nicht erforderlich. Weitere Anforderungen Z.B. AUFGRUND VON SCHALLSCHUTZ, HYGIENE ODER ENERGIEEINSPARUNG sind zu prüfen!"</formula>
    </cfRule>
    <cfRule type="cellIs" dxfId="45" priority="45" operator="equal">
      <formula>"Lüftungstechnische Massnahmen sind nach DIN 1946-6 erforderlich."</formula>
    </cfRule>
  </conditionalFormatting>
  <conditionalFormatting sqref="B35">
    <cfRule type="cellIs" dxfId="44" priority="44" operator="equal">
      <formula>$DU$13</formula>
    </cfRule>
  </conditionalFormatting>
  <conditionalFormatting sqref="B47:Q47">
    <cfRule type="expression" dxfId="43" priority="7">
      <formula>B47=$DU$20</formula>
    </cfRule>
  </conditionalFormatting>
  <conditionalFormatting sqref="B49:Q49">
    <cfRule type="expression" dxfId="42" priority="8">
      <formula>B49=$DU$20</formula>
    </cfRule>
  </conditionalFormatting>
  <conditionalFormatting sqref="B51:Q51">
    <cfRule type="expression" dxfId="41" priority="9">
      <formula>B51=$DU$20</formula>
    </cfRule>
  </conditionalFormatting>
  <conditionalFormatting sqref="B53:Q53">
    <cfRule type="expression" dxfId="40" priority="31">
      <formula>B53=$DU$20</formula>
    </cfRule>
  </conditionalFormatting>
  <conditionalFormatting sqref="B55:Q55">
    <cfRule type="expression" dxfId="39" priority="20">
      <formula>B55=$DU$20</formula>
    </cfRule>
  </conditionalFormatting>
  <conditionalFormatting sqref="B57:Q57">
    <cfRule type="expression" dxfId="38" priority="19">
      <formula>B57=$DU$20</formula>
    </cfRule>
  </conditionalFormatting>
  <conditionalFormatting sqref="B59:Q59">
    <cfRule type="expression" dxfId="37" priority="18">
      <formula>B59=$DU$20</formula>
    </cfRule>
  </conditionalFormatting>
  <conditionalFormatting sqref="B61:Q61">
    <cfRule type="expression" dxfId="36" priority="17">
      <formula>B61=$DU$20</formula>
    </cfRule>
  </conditionalFormatting>
  <conditionalFormatting sqref="B63:Q63">
    <cfRule type="expression" dxfId="35" priority="16">
      <formula>B63=$DU$20</formula>
    </cfRule>
  </conditionalFormatting>
  <conditionalFormatting sqref="B65:Q65">
    <cfRule type="expression" dxfId="34" priority="15">
      <formula>B65=$DU$20</formula>
    </cfRule>
  </conditionalFormatting>
  <conditionalFormatting sqref="B67:Q67">
    <cfRule type="expression" dxfId="33" priority="14">
      <formula>B67=$DU$20</formula>
    </cfRule>
  </conditionalFormatting>
  <conditionalFormatting sqref="B69:Q69">
    <cfRule type="expression" dxfId="32" priority="13">
      <formula>B69=$DU$20</formula>
    </cfRule>
  </conditionalFormatting>
  <conditionalFormatting sqref="B71:Q71">
    <cfRule type="expression" dxfId="31" priority="12">
      <formula>B71=$DU$20</formula>
    </cfRule>
  </conditionalFormatting>
  <conditionalFormatting sqref="B73:Q73">
    <cfRule type="expression" dxfId="30" priority="11">
      <formula>B73=$DU$20</formula>
    </cfRule>
  </conditionalFormatting>
  <conditionalFormatting sqref="B75:Q75">
    <cfRule type="expression" dxfId="29" priority="10">
      <formula>B75=$DU$20</formula>
    </cfRule>
  </conditionalFormatting>
  <conditionalFormatting sqref="E23">
    <cfRule type="expression" dxfId="28" priority="53">
      <formula>$E$23=0</formula>
    </cfRule>
  </conditionalFormatting>
  <conditionalFormatting sqref="E25:E26">
    <cfRule type="cellIs" dxfId="27" priority="50" operator="equal">
      <formula>0</formula>
    </cfRule>
  </conditionalFormatting>
  <conditionalFormatting sqref="E27 M28">
    <cfRule type="expression" dxfId="26" priority="54">
      <formula>AND($E$27=0,$M$28=0)</formula>
    </cfRule>
  </conditionalFormatting>
  <conditionalFormatting sqref="H29:O29">
    <cfRule type="expression" dxfId="25" priority="36">
      <formula>H29&lt;1</formula>
    </cfRule>
  </conditionalFormatting>
  <conditionalFormatting sqref="J46 J48 J50 J52 J54 J56 J58 J60 J62 J64 J66 J68 J70 J72 J74">
    <cfRule type="expression" dxfId="24" priority="4654">
      <formula>AND(B46=$CM$13,SUM($CU$13:$CU$41)&lt;1,J46&lt;1)</formula>
    </cfRule>
    <cfRule type="expression" dxfId="23" priority="4653">
      <formula>AND(B46=CL13,SUM($CU$13:$CU$41)&lt;1,J46&lt;1)</formula>
    </cfRule>
    <cfRule type="expression" dxfId="22" priority="4655">
      <formula>AND(B46=CO13,CU13&lt;1,J46&lt;1)</formula>
    </cfRule>
    <cfRule type="expression" dxfId="21" priority="4652">
      <formula>AND(B46=CK13,SUM($CU$13:$CU$41)&lt;1,J46&lt;1)</formula>
    </cfRule>
    <cfRule type="expression" dxfId="20" priority="4657">
      <formula>AND(B46=CQ13,CU13&lt;1,J46&lt;1)</formula>
    </cfRule>
    <cfRule type="expression" dxfId="19" priority="4656">
      <formula>AND(B46=CP13,CU13&lt;1,J46&lt;1)</formula>
    </cfRule>
    <cfRule type="expression" dxfId="18" priority="4651">
      <formula>AND(B46=CJ13,SUM($CU$13:$CU$41)&lt;1,J46&lt;1)</formula>
    </cfRule>
  </conditionalFormatting>
  <conditionalFormatting sqref="L46 L48 L50 L52 L54 L56 L58 L60 L62 L64 L66 L68 L70 L72 L74">
    <cfRule type="expression" dxfId="17" priority="4762">
      <formula>AND(B46=CQ13,CU13&lt;1,L46&lt;1)</formula>
    </cfRule>
    <cfRule type="expression" dxfId="16" priority="4759">
      <formula>AND(B46=CM13,SUM($CU$13:$CU$41)&lt;1,L46&lt;1)</formula>
    </cfRule>
    <cfRule type="expression" dxfId="15" priority="4761">
      <formula>AND(B46=CP13,CU13&lt;1,L46&lt;1)</formula>
    </cfRule>
    <cfRule type="expression" dxfId="14" priority="4760">
      <formula>AND(B46=CO13,CU13&lt;1,L46&lt;1)</formula>
    </cfRule>
    <cfRule type="expression" dxfId="13" priority="4756">
      <formula>AND(B46=CJ13,SUM($CU$13:$CU$41)&lt;1,L46&lt;1)</formula>
    </cfRule>
    <cfRule type="expression" dxfId="12" priority="4758">
      <formula>AND(B46=CL13,SUM($CU$13:$CU$41)&lt;1,L46&lt;1)</formula>
    </cfRule>
    <cfRule type="expression" dxfId="11" priority="4757">
      <formula>AND(B46=CK13,SUM($CU$13:$CU$41)&lt;1,L46&lt;1)</formula>
    </cfRule>
  </conditionalFormatting>
  <conditionalFormatting sqref="N46 N48 N50 N52 N54 N56 N58 N60 N62 N64 N66 N68 N70 N72 N74">
    <cfRule type="expression" dxfId="10" priority="2523">
      <formula>AND(J46="dauernd",N46&lt;1)</formula>
    </cfRule>
  </conditionalFormatting>
  <conditionalFormatting sqref="R26">
    <cfRule type="cellIs" dxfId="9" priority="43" operator="equal">
      <formula>0</formula>
    </cfRule>
  </conditionalFormatting>
  <conditionalFormatting sqref="R37">
    <cfRule type="expression" dxfId="8" priority="111">
      <formula>AND(#REF!=0,#REF!=0)</formula>
    </cfRule>
    <cfRule type="cellIs" dxfId="7" priority="115" operator="equal">
      <formula>0</formula>
    </cfRule>
  </conditionalFormatting>
  <conditionalFormatting sqref="V21">
    <cfRule type="cellIs" dxfId="6" priority="49" operator="equal">
      <formula>0</formula>
    </cfRule>
  </conditionalFormatting>
  <conditionalFormatting sqref="V25">
    <cfRule type="cellIs" dxfId="5" priority="47" operator="equal">
      <formula>0</formula>
    </cfRule>
  </conditionalFormatting>
  <conditionalFormatting sqref="V27">
    <cfRule type="cellIs" dxfId="4" priority="48" operator="equal">
      <formula>0</formula>
    </cfRule>
  </conditionalFormatting>
  <conditionalFormatting sqref="V28">
    <cfRule type="cellIs" dxfId="3" priority="3918" operator="equal">
      <formula>0</formula>
    </cfRule>
    <cfRule type="expression" dxfId="2" priority="3917">
      <formula>AND($HL$32&gt;0,$V$28=0)</formula>
    </cfRule>
  </conditionalFormatting>
  <conditionalFormatting sqref="V22:AC24 E23">
    <cfRule type="cellIs" dxfId="1" priority="52" operator="equal">
      <formula>0</formula>
    </cfRule>
  </conditionalFormatting>
  <conditionalFormatting sqref="V29:AC29">
    <cfRule type="expression" dxfId="0" priority="32">
      <formula>AND($V$28&gt;0,V29&lt;1)</formula>
    </cfRule>
  </conditionalFormatting>
  <dataValidations count="21">
    <dataValidation type="list" allowBlank="1" showInputMessage="1" showErrorMessage="1" sqref="BO23 BC77" xr:uid="{00000000-0002-0000-0100-000000000000}">
      <formula1>#REF!</formula1>
    </dataValidation>
    <dataValidation type="list" allowBlank="1" showInputMessage="1" showErrorMessage="1" sqref="E26:O26" xr:uid="{00000000-0002-0000-0100-000001000000}">
      <formula1>$BD$23:$BD$24</formula1>
    </dataValidation>
    <dataValidation type="list" allowBlank="1" showInputMessage="1" showErrorMessage="1" sqref="E25:O25" xr:uid="{00000000-0002-0000-0100-000002000000}">
      <formula1>$BD$17:$BD$19</formula1>
    </dataValidation>
    <dataValidation type="list" allowBlank="1" showInputMessage="1" showErrorMessage="1" sqref="V23:AC23" xr:uid="{00000000-0002-0000-0100-000003000000}">
      <formula1>$BD$83:$BD$84</formula1>
    </dataValidation>
    <dataValidation type="list" allowBlank="1" showInputMessage="1" showErrorMessage="1" sqref="V22:AC22" xr:uid="{00000000-0002-0000-0100-000004000000}">
      <formula1>$BD$78:$BD$79</formula1>
    </dataValidation>
    <dataValidation type="list" allowBlank="1" showInputMessage="1" showErrorMessage="1" sqref="V24:AC24" xr:uid="{00000000-0002-0000-0100-000005000000}">
      <formula1>$BD$88:$BD$89</formula1>
    </dataValidation>
    <dataValidation type="list" allowBlank="1" showInputMessage="1" showErrorMessage="1" sqref="R26:AC26" xr:uid="{00000000-0002-0000-0100-000006000000}">
      <formula1>$BD$93:$BD$94</formula1>
    </dataValidation>
    <dataValidation type="list" allowBlank="1" showInputMessage="1" showErrorMessage="1" sqref="E27:O27" xr:uid="{00000000-0002-0000-0100-000007000000}">
      <formula1>$BD$28:$BD$29</formula1>
    </dataValidation>
    <dataValidation type="list" allowBlank="1" showInputMessage="1" showErrorMessage="1" sqref="V21:AC21" xr:uid="{00000000-0002-0000-0100-000008000000}">
      <formula1>$BD$71:$BD$74</formula1>
    </dataValidation>
    <dataValidation type="list" allowBlank="1" showInputMessage="1" showErrorMessage="1" sqref="BC102" xr:uid="{00000000-0002-0000-0100-000009000000}">
      <formula1>$BP$20:$BP$20</formula1>
    </dataValidation>
    <dataValidation type="list" allowBlank="1" showInputMessage="1" showErrorMessage="1" sqref="R37" xr:uid="{00000000-0002-0000-0100-00000A000000}">
      <formula1>$BP$17:$BP$18</formula1>
    </dataValidation>
    <dataValidation type="list" allowBlank="1" showInputMessage="1" showErrorMessage="1" sqref="J46 J48 J50 J52 J54 J56 J58 J60 J62 J64 J66 J68 J70 J72 J74" xr:uid="{00000000-0002-0000-0100-00000B000000}">
      <formula1>CD45:CE45</formula1>
    </dataValidation>
    <dataValidation type="list" allowBlank="1" showInputMessage="1" showErrorMessage="1" sqref="B72 B56 B70 B68 B66 B64 B62 B60 B58 B46 B54 B52 B50 B48 B74" xr:uid="{00000000-0002-0000-0100-00000E000000}">
      <formula1>$CC$12:$CQ$12</formula1>
    </dataValidation>
    <dataValidation type="list" allowBlank="1" showInputMessage="1" showErrorMessage="1" sqref="X46:X75" xr:uid="{00000000-0002-0000-0100-00000F000000}">
      <formula1>$DU$30:$EO$30</formula1>
    </dataValidation>
    <dataValidation type="list" allowBlank="1" showInputMessage="1" showErrorMessage="1" sqref="Y46:Y75" xr:uid="{00000000-0002-0000-0100-000010000000}">
      <formula1>INDIRECT(X46)</formula1>
    </dataValidation>
    <dataValidation type="list" allowBlank="1" showInputMessage="1" showErrorMessage="1" sqref="V29:AC29" xr:uid="{00000000-0002-0000-0100-000011000000}">
      <formula1>$BD$98:$BD$99</formula1>
    </dataValidation>
    <dataValidation type="list" allowBlank="1" showInputMessage="1" showErrorMessage="1" sqref="R46:W75" xr:uid="{00000000-0002-0000-0100-000013000000}">
      <formula1>INDIRECT($H$29)</formula1>
    </dataValidation>
    <dataValidation type="list" allowBlank="1" showInputMessage="1" showErrorMessage="1" sqref="H29:O29" xr:uid="{00000000-0002-0000-0100-000014000000}">
      <formula1>$EQ$30:$EW$30</formula1>
    </dataValidation>
    <dataValidation type="list" allowBlank="1" showInputMessage="1" showErrorMessage="1" sqref="L46 L74 L72 L70 L68 L66 L64 L62 L60 L58 L56 L54 L52 L50 L48" xr:uid="{00000000-0002-0000-0100-00000C000000}">
      <formula1>CP45:CY45</formula1>
    </dataValidation>
    <dataValidation type="list" allowBlank="1" showInputMessage="1" showErrorMessage="1" sqref="N46 N74 N72 N70 N68 N66 N64 N62 N60 N58 N56 N54 N52 N50 N48" xr:uid="{00000000-0002-0000-0100-00000D000000}">
      <formula1>CF45:CO45</formula1>
    </dataValidation>
    <dataValidation type="list" allowBlank="1" showInputMessage="1" showErrorMessage="1" sqref="E23:O23" xr:uid="{00000000-0002-0000-0100-000012000000}">
      <formula1>$AF$12:$AF$375</formula1>
    </dataValidation>
  </dataValidations>
  <hyperlinks>
    <hyperlink ref="V18" r:id="rId1" xr:uid="{EBEE4BB8-BBF2-442F-95BD-4F414472FA1F}"/>
  </hyperlinks>
  <printOptions horizontalCentered="1" verticalCentered="1"/>
  <pageMargins left="0.19685039370078741" right="0.19685039370078741" top="0.19685039370078741" bottom="0.39370078740157483" header="0" footer="0.19685039370078741"/>
  <pageSetup paperSize="9" scale="74" fitToHeight="2" orientation="portrait" r:id="rId2"/>
  <headerFooter>
    <oddFooter>&amp;C&amp;"Arial,Standard"&amp;8Seite &amp;P von &amp;N</oddFooter>
  </headerFooter>
  <drawing r:id="rId3"/>
  <tableParts count="27">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c j 5 4 V i g Y i p y m A A A A 9 g A A A B I A H A B D b 2 5 m a W c v U G F j a 2 F n Z S 5 4 b W w g o h g A K K A U A A A A A A A A A A A A A A A A A A A A A A A A A A A A h Y + x D o I w G I R f h X S n L d U Y Q n 7 K o G 6 S m J g Y 1 6 Z U a I R i a L G 8 m 4 O P 5 C u I U d T N 8 e 6 + S + 7 u 1 x t k Q 1 M H F 9 V Z 3 Z o U R Z i i Q B n Z F t q U K e r d M Y x R x m E r 5 E m U K h h h Y 5 P B 6 h R V z p 0 T Q r z 3 2 M 9 w 2 5 W E U R q R Q 7 7 Z y U o 1 I t T G O m G k Q p 9 W 8 b + F O O x f Y z j D U T T H 8 Y J h C m Q y I d f m C 7 B x 7 z P 9 M W H Z 1 6 7 v F C 9 U u F o D m S S Q 9 w f + A F B L A w Q U A A I A C A B y P n h 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j 5 4 V i i K R 7 g O A A A A E Q A A A B M A H A B G b 3 J t d W x h c y 9 T Z W N 0 a W 9 u M S 5 t I K I Y A C i g F A A A A A A A A A A A A A A A A A A A A A A A A A A A A C t O T S 7 J z M 9 T C I b Q h t Y A U E s B A i 0 A F A A C A A g A c j 5 4 V i g Y i p y m A A A A 9 g A A A B I A A A A A A A A A A A A A A A A A A A A A A E N v b m Z p Z y 9 Q Y W N r Y W d l L n h t b F B L A Q I t A B Q A A g A I A H I + e F Y P y u m r p A A A A O k A A A A T A A A A A A A A A A A A A A A A A P I A A A B b Q 2 9 u d G V u d F 9 U e X B l c 1 0 u e G 1 s U E s B A i 0 A F A A C A A g A c j 5 4 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N w s R Q H 4 + W N C h Y g q e d A c f B U A A A A A A g A A A A A A E G Y A A A A B A A A g A A A A c F 4 E r R 2 h l t x n I n 4 2 y 7 4 5 G H L N A 5 9 k b K B P F 3 e 1 B X w j n n E A A A A A D o A A A A A C A A A g A A A A Q k I r k c q 2 k Y w i c h 1 P H u K 0 q o L q w b p Q v 8 F D G m m 6 B j P I i p F Q A A A A a e E F u K p Y O y 6 d C V d 1 M G 0 M X X P L i f x K 5 W v L j 5 M U z z L p 5 8 o f 4 e h 6 Z 6 n 5 u h J H 7 g x 3 G t a Y i d I D 7 3 c j n m + R C P a W p P f g B f t Z P l X l Z 0 h z u z C v k h P p S 7 Z A A A A A a + V c 4 5 b q B i L M 4 j f B 4 7 7 9 a h 8 C P D d l l m J B n 5 u 9 E T f 5 2 M z K 4 S k K d Y n 0 X D B 4 N q f 5 g D a o W y e w n a g f B m b n T C 1 9 i Q B r t w = = < / D a t a M a s h u p > 
</file>

<file path=customXml/itemProps1.xml><?xml version="1.0" encoding="utf-8"?>
<ds:datastoreItem xmlns:ds="http://schemas.openxmlformats.org/officeDocument/2006/customXml" ds:itemID="{381F865F-0172-4DCE-A551-96786E6CC5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Lüftungskonzept</vt:lpstr>
      <vt:lpstr>Lüftungskonzept!Print_Area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Solcher</dc:creator>
  <cp:lastModifiedBy>Thomas Maier</cp:lastModifiedBy>
  <cp:lastPrinted>2023-03-24T09:09:09Z</cp:lastPrinted>
  <dcterms:created xsi:type="dcterms:W3CDTF">2014-07-16T06:23:43Z</dcterms:created>
  <dcterms:modified xsi:type="dcterms:W3CDTF">2024-03-26T14:21:37Z</dcterms:modified>
</cp:coreProperties>
</file>